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SC-DC-FS01\FolderRedirection\Eric_A\Documents\"/>
    </mc:Choice>
  </mc:AlternateContent>
  <xr:revisionPtr revIDLastSave="0" documentId="13_ncr:1_{5356579A-727B-4DA6-862D-B3A2849C3BD5}"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3120" yWindow="3120" windowWidth="21600" windowHeight="11385" tabRatio="789" firstSheet="2"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c r="E6" i="5"/>
  <c r="S6" i="5"/>
  <c r="T6" i="5"/>
  <c r="V7" i="5"/>
  <c r="J7" i="5"/>
  <c r="E7" i="5"/>
  <c r="S7" i="5"/>
  <c r="T7" i="5"/>
  <c r="V8" i="5"/>
  <c r="J8" i="5"/>
  <c r="E8" i="5"/>
  <c r="S8" i="5"/>
  <c r="T8" i="5"/>
  <c r="V9" i="5"/>
  <c r="J9" i="5"/>
  <c r="E9" i="5"/>
  <c r="S9" i="5"/>
  <c r="T9" i="5"/>
  <c r="V10" i="5"/>
  <c r="J10" i="5"/>
  <c r="E10" i="5"/>
  <c r="S10" i="5"/>
  <c r="T10" i="5"/>
  <c r="V11" i="5"/>
  <c r="J11" i="5"/>
  <c r="E11" i="5"/>
  <c r="S11" i="5"/>
  <c r="T11" i="5"/>
  <c r="V12" i="5"/>
  <c r="J12" i="5"/>
  <c r="E12" i="5"/>
  <c r="S12" i="5"/>
  <c r="T12" i="5"/>
  <c r="V13" i="5"/>
  <c r="J13" i="5"/>
  <c r="E13" i="5"/>
  <c r="S13" i="5"/>
  <c r="T13" i="5"/>
  <c r="V14" i="5"/>
  <c r="J14" i="5"/>
  <c r="E14" i="5"/>
  <c r="S14" i="5"/>
  <c r="T14" i="5"/>
  <c r="V15" i="5"/>
  <c r="J15" i="5"/>
  <c r="E15" i="5"/>
  <c r="S15" i="5"/>
  <c r="T15" i="5"/>
  <c r="V16" i="5"/>
  <c r="J16" i="5"/>
  <c r="E16" i="5"/>
  <c r="S16" i="5"/>
  <c r="T16" i="5"/>
  <c r="V17" i="5"/>
  <c r="J17" i="5"/>
  <c r="E17" i="5"/>
  <c r="S17" i="5"/>
  <c r="T17" i="5"/>
  <c r="V18" i="5"/>
  <c r="J18" i="5"/>
  <c r="E18" i="5"/>
  <c r="S18" i="5"/>
  <c r="T18" i="5"/>
  <c r="V19" i="5"/>
  <c r="J19" i="5"/>
  <c r="E19" i="5"/>
  <c r="S19" i="5"/>
  <c r="T19" i="5"/>
  <c r="V20" i="5"/>
  <c r="J20" i="5"/>
  <c r="E20" i="5"/>
  <c r="S20" i="5"/>
  <c r="T20" i="5"/>
  <c r="V21" i="5"/>
  <c r="J21" i="5"/>
  <c r="E21" i="5"/>
  <c r="S21" i="5"/>
  <c r="T21" i="5"/>
  <c r="V22" i="5"/>
  <c r="J22" i="5"/>
  <c r="E22" i="5"/>
  <c r="S22" i="5"/>
  <c r="T22" i="5"/>
  <c r="V23" i="5"/>
  <c r="J23" i="5"/>
  <c r="E23" i="5"/>
  <c r="S23" i="5"/>
  <c r="T23" i="5"/>
  <c r="V24" i="5"/>
  <c r="J24" i="5"/>
  <c r="E24" i="5"/>
  <c r="S24" i="5"/>
  <c r="T24" i="5"/>
  <c r="V25" i="5"/>
  <c r="J25" i="5"/>
  <c r="E25" i="5"/>
  <c r="S25" i="5"/>
  <c r="T25" i="5"/>
  <c r="V26" i="5"/>
  <c r="J26" i="5"/>
  <c r="E26" i="5"/>
  <c r="S26" i="5"/>
  <c r="T26" i="5"/>
  <c r="V27" i="5"/>
  <c r="J27" i="5"/>
  <c r="E27" i="5"/>
  <c r="S27" i="5"/>
  <c r="T27" i="5"/>
  <c r="V28" i="5"/>
  <c r="J28" i="5"/>
  <c r="E28" i="5"/>
  <c r="S28"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5" i="5"/>
  <c r="E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AB21" i="5"/>
  <c r="F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F28" i="5"/>
  <c r="H20" i="5"/>
  <c r="H114" i="5"/>
  <c r="F118" i="5"/>
  <c r="R118" i="5"/>
  <c r="J118" i="5"/>
  <c r="X5" i="5"/>
  <c r="I20"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F20" i="5"/>
  <c r="AB31" i="5"/>
  <c r="F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<sst xmlns="http://schemas.openxmlformats.org/spreadsheetml/2006/main" count="22549" uniqueCount="15864">
  <si>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</si>
  <si>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</si>
  <si>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</si>
  <si>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</si>
  <si>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</si>
  <si>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</si>
  <si>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</si>
  <si>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</si>
  <si>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</si>
  <si>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</si>
  <si>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</si>
  <si>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</si>
  <si>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</si>
  <si>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</si>
  <si>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</si>
  <si>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</si>
  <si>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</si>
  <si>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</si>
  <si>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</si>
  <si>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</si>
  <si>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</si>
  <si>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</si>
  <si>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</si>
  <si>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</si>
  <si>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</si>
  <si>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</si>
  <si>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</si>
  <si>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</si>
  <si>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</si>
  <si>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</si>
  <si>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</si>
  <si>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</si>
  <si>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</si>
  <si>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</si>
  <si>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</si>
  <si>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</si>
  <si>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</si>
  <si>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</si>
  <si>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</si>
  <si>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</si>
  <si>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</si>
  <si>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</si>
  <si>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</si>
  <si>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</si>
  <si>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</si>
  <si>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</si>
  <si>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</si>
  <si>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</si>
  <si>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</si>
  <si>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</si>
  <si>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</si>
  <si>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</si>
  <si>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</si>
  <si>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</si>
  <si>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</si>
  <si>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</si>
  <si>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</si>
  <si>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</si>
  <si>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</si>
  <si>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</si>
  <si>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</si>
  <si>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</si>
  <si>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</si>
  <si>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</si>
  <si>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</si>
  <si>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</si>
  <si>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</si>
  <si>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</si>
  <si>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</si>
  <si>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</si>
  <si>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</si>
  <si>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</si>
  <si>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</si>
  <si>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</si>
  <si>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</si>
  <si>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</si>
  <si>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</si>
  <si>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</si>
  <si>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</si>
  <si>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</si>
  <si>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</si>
  <si>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</si>
  <si>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</si>
  <si>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</si>
  <si>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</si>
  <si>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</si>
  <si>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</si>
  <si>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</si>
  <si>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</si>
  <si>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</si>
  <si>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</si>
  <si>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</si>
  <si>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</si>
  <si>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</si>
  <si>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</si>
  <si>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</si>
  <si>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</si>
  <si>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</si>
  <si>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</si>
  <si>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</si>
  <si>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</si>
  <si>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</si>
  <si>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</si>
  <si>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</si>
  <si>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</si>
  <si>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</si>
  <si>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</si>
  <si>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</si>
  <si>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</si>
  <si>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</si>
  <si>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</si>
  <si>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</si>
  <si>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</si>
  <si>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</si>
  <si>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</si>
  <si>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</si>
  <si>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</si>
  <si>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</si>
  <si>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</si>
  <si>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</si>
  <si>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</si>
  <si>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</si>
  <si>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</si>
  <si>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</si>
  <si>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</si>
  <si>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</si>
  <si>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</si>
  <si>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</si>
  <si>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</si>
  <si>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</si>
  <si>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</si>
  <si>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</si>
  <si>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</si>
  <si>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</si>
  <si>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</si>
  <si>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</si>
  <si>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</si>
  <si>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</si>
  <si>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</si>
  <si>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</si>
  <si>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</si>
  <si>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</si>
  <si>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</si>
  <si>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</si>
  <si>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</si>
  <si>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</si>
  <si>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</si>
  <si>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</si>
  <si>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</si>
  <si>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</si>
  <si>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</si>
  <si>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</si>
  <si>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</si>
  <si>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</si>
  <si>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</si>
  <si>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</si>
  <si>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</si>
  <si>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</si>
  <si>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</si>
  <si>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</si>
  <si>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</si>
  <si>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</si>
  <si>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</si>
  <si>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</si>
  <si>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</si>
  <si>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</si>
  <si>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</si>
  <si>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</si>
  <si>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</si>
  <si>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</si>
  <si>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</si>
  <si>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</si>
  <si>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</si>
  <si>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</si>
  <si>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</si>
  <si>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</si>
  <si>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</si>
  <si>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</si>
  <si>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</si>
  <si>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</si>
  <si>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</si>
  <si>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</si>
  <si>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</si>
  <si>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</si>
  <si>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</si>
  <si>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</si>
  <si>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</si>
  <si>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</si>
  <si>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</si>
  <si>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</si>
  <si>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</si>
  <si>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</si>
  <si>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</si>
  <si>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</si>
  <si>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</si>
  <si>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</si>
  <si>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</si>
  <si>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</si>
  <si>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</si>
  <si>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</si>
  <si>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</si>
  <si>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</si>
  <si>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</si>
  <si>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</si>
  <si>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</si>
  <si>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</si>
  <si>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</si>
  <si>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</si>
  <si>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</si>
  <si>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</si>
  <si>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</si>
  <si>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</si>
  <si>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</si>
  <si>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</si>
  <si>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</si>
  <si>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</si>
  <si>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</si>
  <si>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</si>
  <si>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</si>
  <si>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</si>
  <si>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</si>
  <si>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</si>
  <si>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</si>
  <si>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</si>
  <si>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</si>
  <si>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</si>
  <si>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</si>
  <si>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</si>
  <si>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</si>
  <si>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</si>
  <si>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</si>
  <si>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</si>
  <si>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</si>
  <si>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</si>
  <si>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</si>
  <si>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</si>
  <si>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</si>
  <si>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</si>
  <si>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</si>
  <si>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</si>
  <si>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</si>
  <si>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</si>
  <si>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</si>
  <si>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</si>
  <si>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</si>
  <si>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</si>
  <si>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</si>
  <si>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</si>
  <si>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</si>
  <si>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</si>
  <si>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</si>
  <si>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</si>
  <si>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</si>
  <si>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</si>
  <si>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</si>
  <si>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</si>
  <si>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</si>
  <si>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</si>
  <si>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</si>
  <si>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</si>
  <si>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</si>
  <si>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</si>
  <si>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</si>
  <si>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</si>
  <si>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</si>
  <si>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</si>
  <si>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</si>
  <si>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</si>
  <si>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</si>
  <si>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</si>
  <si>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</si>
  <si>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</si>
  <si>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</si>
  <si>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</si>
  <si>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</si>
  <si>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</si>
  <si>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</si>
  <si>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</si>
  <si>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</si>
  <si>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</si>
  <si>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</si>
  <si>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</si>
  <si>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</si>
  <si>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</si>
  <si>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</si>
  <si>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</si>
  <si>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</si>
  <si>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</si>
  <si>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</si>
  <si>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</si>
  <si>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</si>
  <si>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</si>
  <si>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</si>
  <si>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</si>
  <si>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</si>
  <si>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</si>
  <si>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</si>
  <si>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</si>
  <si>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</si>
  <si>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</si>
  <si>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</si>
  <si>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</si>
  <si>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</si>
  <si>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</si>
  <si>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</si>
  <si>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</si>
  <si>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</si>
  <si>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</si>
  <si>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</si>
  <si>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</si>
  <si>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</si>
  <si>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</si>
  <si>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</si>
  <si>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</si>
  <si>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</si>
  <si>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</si>
  <si>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</si>
  <si>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</si>
  <si>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</si>
  <si>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</si>
  <si>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</si>
  <si>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</si>
  <si>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</si>
  <si>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</si>
  <si>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</si>
  <si>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</si>
  <si>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</si>
  <si>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</si>
  <si>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</si>
  <si>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</si>
  <si>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</si>
  <si>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</si>
  <si>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</si>
  <si>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</si>
  <si>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</si>
  <si>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</si>
  <si>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</si>
  <si>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</si>
  <si>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</si>
  <si>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</si>
  <si>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</si>
  <si>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</si>
  <si>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</si>
  <si>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</si>
  <si>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</si>
  <si>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</si>
  <si>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</si>
  <si>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</si>
  <si>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</si>
  <si>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</si>
  <si>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</si>
  <si>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</si>
  <si>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</si>
  <si>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</si>
  <si>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</si>
  <si>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</si>
  <si>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</si>
  <si>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</si>
  <si>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</si>
  <si>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</si>
  <si>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</si>
  <si>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</si>
  <si>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</si>
  <si>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</si>
  <si>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</si>
  <si>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</si>
  <si>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</si>
  <si>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</si>
  <si>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</si>
  <si>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</si>
  <si>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</si>
  <si>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</si>
  <si>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</si>
  <si>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</si>
  <si>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</si>
  <si>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</si>
  <si>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</si>
  <si>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</si>
  <si>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</si>
  <si>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</si>
  <si>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</si>
  <si>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</si>
  <si>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</si>
  <si>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</si>
  <si>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</si>
  <si>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</si>
  <si>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</si>
  <si>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</si>
  <si>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</si>
  <si>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</si>
  <si>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</si>
  <si>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</si>
  <si>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</si>
  <si>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</si>
  <si>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</si>
  <si>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</si>
  <si>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</si>
  <si>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</si>
  <si>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</si>
  <si>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</si>
  <si>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</si>
  <si>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</si>
  <si>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</si>
  <si>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</si>
  <si>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</si>
  <si>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</si>
  <si>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</si>
  <si>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</si>
  <si>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</si>
  <si>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</si>
  <si>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</si>
  <si>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</si>
  <si>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</si>
  <si>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</si>
  <si>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</si>
  <si>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</si>
  <si>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</si>
  <si>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</si>
  <si>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</si>
  <si>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</si>
  <si>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</si>
  <si>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</si>
  <si>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</si>
  <si>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</si>
  <si>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</si>
  <si>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</si>
  <si>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</si>
  <si>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</si>
  <si>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</si>
  <si>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</si>
  <si>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</si>
  <si>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</si>
  <si>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</si>
  <si>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</si>
  <si>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</si>
  <si>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</si>
  <si>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</si>
  <si>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</si>
  <si>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</si>
  <si>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</si>
  <si>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</si>
  <si>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</si>
  <si>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</si>
  <si>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</si>
  <si>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</si>
  <si>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</si>
  <si>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</si>
  <si>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</si>
  <si>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</si>
  <si>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</si>
  <si>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</si>
  <si>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</si>
  <si>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</si>
  <si>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</si>
  <si>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</si>
  <si>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</si>
  <si>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</si>
  <si>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</si>
  <si>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</si>
  <si>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</si>
  <si>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</si>
  <si>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</si>
  <si>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</si>
  <si>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</si>
  <si>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</si>
  <si>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</si>
  <si>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</si>
  <si>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</si>
  <si>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</si>
  <si>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</si>
  <si>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</si>
  <si>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</si>
  <si>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</si>
  <si>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</si>
  <si>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</si>
  <si>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</si>
  <si>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</si>
  <si>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</si>
  <si>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</si>
  <si>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</si>
  <si>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</si>
  <si>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</si>
  <si>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</si>
  <si>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</si>
  <si>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</si>
  <si>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</si>
  <si>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</si>
  <si>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</si>
  <si>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</si>
  <si>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</si>
  <si>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</si>
  <si>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</si>
  <si>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</si>
  <si>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</si>
  <si>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</si>
  <si>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</si>
  <si>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</si>
  <si>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</si>
  <si>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</si>
  <si>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</si>
  <si>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</si>
  <si>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</si>
  <si>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</si>
  <si>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</si>
  <si>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</si>
  <si>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</si>
  <si>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</si>
  <si>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</si>
  <si>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</si>
  <si>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</si>
  <si>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</si>
  <si>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</si>
  <si>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</si>
  <si>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</si>
  <si>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</si>
  <si>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</si>
  <si>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</si>
  <si>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</si>
  <si>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</si>
  <si>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</si>
  <si>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</si>
  <si>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</si>
  <si>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</si>
  <si>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</si>
  <si>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</si>
  <si>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</si>
  <si>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</si>
  <si>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</si>
  <si>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</si>
  <si>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</si>
  <si>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</si>
  <si>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</si>
  <si>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</si>
  <si>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</si>
  <si>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</si>
  <si>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</si>
  <si>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</si>
  <si>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</si>
  <si>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</si>
  <si>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</si>
  <si>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</si>
  <si>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</si>
  <si>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</si>
  <si>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</si>
  <si>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</si>
  <si>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</si>
  <si>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</si>
  <si>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</si>
  <si>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</si>
  <si>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</si>
  <si>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</si>
  <si>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</si>
  <si>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</si>
  <si>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</si>
  <si>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</si>
  <si>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</si>
  <si>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</si>
  <si>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</si>
  <si>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</si>
  <si>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</si>
  <si>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</si>
  <si>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</si>
  <si>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</si>
  <si>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</si>
  <si>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</si>
  <si>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</si>
  <si>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</si>
  <si>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</si>
  <si>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</si>
  <si>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</si>
  <si>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</si>
  <si>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</si>
  <si>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</si>
  <si>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</si>
  <si>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</si>
  <si>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</si>
  <si>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</si>
  <si>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</si>
  <si>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</si>
  <si>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</si>
  <si>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</si>
  <si>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</si>
  <si>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</si>
  <si>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</si>
  <si>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</si>
  <si>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</si>
  <si>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</si>
  <si>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</si>
  <si>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</si>
  <si>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</si>
  <si>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</si>
  <si>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</si>
  <si>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</si>
  <si>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</si>
  <si>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</si>
  <si>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</si>
  <si>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</si>
  <si>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</si>
  <si>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</si>
  <si>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</si>
  <si>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</si>
  <si>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</si>
  <si>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</si>
  <si>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</si>
  <si>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</si>
  <si>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</si>
  <si>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</si>
  <si>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</si>
  <si>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</si>
  <si>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</si>
  <si>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</si>
  <si>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</si>
  <si>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</si>
  <si>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</si>
  <si>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</si>
  <si>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</si>
  <si>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</si>
  <si>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</si>
  <si>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</si>
  <si>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</si>
  <si>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</si>
  <si>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</si>
  <si>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</si>
  <si>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</si>
  <si>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</si>
  <si>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</si>
  <si>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</si>
  <si>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</si>
  <si>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</si>
  <si>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</si>
  <si>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</si>
  <si>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</si>
  <si>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</si>
  <si>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</si>
  <si>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</si>
  <si>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</si>
  <si>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</si>
  <si>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</si>
  <si>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</si>
  <si>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</si>
  <si>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</si>
  <si>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</si>
  <si>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</si>
  <si>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</si>
  <si>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</si>
  <si>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</si>
  <si>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</si>
  <si>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</si>
  <si>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</si>
  <si>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</si>
  <si>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</si>
  <si>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</si>
  <si>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</si>
  <si>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</si>
  <si>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</si>
  <si>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</si>
  <si>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</si>
  <si>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</si>
  <si>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</si>
  <si>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</si>
  <si>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</si>
  <si>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</si>
  <si>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</si>
  <si>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</si>
  <si>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</si>
  <si>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</si>
  <si>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</si>
  <si>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</si>
  <si>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</si>
  <si>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</si>
  <si>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</si>
  <si>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</si>
  <si>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</si>
  <si>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</si>
  <si>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</si>
  <si>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</si>
  <si>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</si>
  <si>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</si>
  <si>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</si>
  <si>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</si>
  <si>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</si>
  <si>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</si>
  <si>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</si>
  <si>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</si>
  <si>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</si>
  <si>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</si>
  <si>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</si>
  <si>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</si>
  <si>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</si>
  <si>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</si>
  <si>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</si>
  <si>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</si>
  <si>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</si>
  <si>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</si>
  <si>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</si>
  <si>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</si>
  <si>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</si>
  <si>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</si>
  <si>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</si>
  <si>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</si>
  <si>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</si>
  <si>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</si>
  <si>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</si>
  <si>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</si>
  <si>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</si>
  <si>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</si>
  <si>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</si>
  <si>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</si>
  <si>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</si>
  <si>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</si>
  <si>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</si>
  <si>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</si>
  <si>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</si>
  <si>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</si>
  <si>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</si>
  <si>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</si>
  <si>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</si>
  <si>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</si>
  <si>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</si>
  <si>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</si>
  <si>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</si>
  <si>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</si>
  <si>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</si>
  <si>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</si>
  <si>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</si>
  <si>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</si>
  <si>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</si>
  <si>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</si>
  <si>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</si>
  <si>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</si>
  <si>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</si>
  <si>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</si>
  <si>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</si>
  <si>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</si>
  <si>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</si>
  <si>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</si>
  <si>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</si>
  <si>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</si>
  <si>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</si>
  <si>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</si>
  <si>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</si>
  <si>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</si>
  <si>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</si>
  <si>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</si>
  <si>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</si>
  <si>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</si>
  <si>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</si>
  <si>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</si>
  <si>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</si>
  <si>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</si>
  <si>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</si>
  <si>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</si>
  <si>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</si>
  <si>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</si>
  <si>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</si>
  <si>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</si>
  <si>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</si>
  <si>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</si>
  <si>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</si>
  <si>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</si>
  <si>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</si>
  <si>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</si>
  <si>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</si>
  <si>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</si>
  <si>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</si>
  <si>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</si>
  <si>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</si>
  <si>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</si>
  <si>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</si>
  <si>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</si>
  <si>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</si>
  <si>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</si>
  <si>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</si>
  <si>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</si>
  <si>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</si>
  <si>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</si>
  <si>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</si>
  <si>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</si>
  <si>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</si>
  <si>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</si>
  <si>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</si>
  <si>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</si>
  <si>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</si>
  <si>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</si>
  <si>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</si>
  <si>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</si>
  <si>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</si>
  <si>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</si>
  <si>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</si>
  <si>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</si>
  <si>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</si>
  <si>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</si>
  <si>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</si>
  <si>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</si>
  <si>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</si>
  <si>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</si>
  <si>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</si>
  <si>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</si>
  <si>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</si>
  <si>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</si>
  <si>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</si>
  <si>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</si>
  <si>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</si>
  <si>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</si>
  <si>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</si>
  <si>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</si>
  <si>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</si>
  <si>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</si>
  <si>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</si>
  <si>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</si>
  <si>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</si>
  <si>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</si>
  <si>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</si>
  <si>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</si>
  <si>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</si>
  <si>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</si>
  <si>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</si>
  <si>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</si>
  <si>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</si>
  <si>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</si>
  <si>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</si>
  <si>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</si>
  <si>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</si>
  <si>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</si>
  <si>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</si>
  <si>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</si>
  <si>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</si>
  <si>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</si>
  <si>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</si>
  <si>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</si>
  <si>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</si>
  <si>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</si>
  <si>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</si>
  <si>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</si>
  <si>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</si>
  <si>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</si>
  <si>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</si>
  <si>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</si>
  <si>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</si>
  <si>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</si>
  <si>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</si>
  <si>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</si>
  <si>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</si>
  <si>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</si>
  <si>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</si>
  <si>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</si>
  <si>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</si>
  <si>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</si>
  <si>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</si>
  <si>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</si>
  <si>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</si>
  <si>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</si>
  <si>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</si>
  <si>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</si>
  <si>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</si>
  <si>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</si>
  <si>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</si>
  <si>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</si>
  <si>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</si>
  <si>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</si>
  <si>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</si>
  <si>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</si>
  <si>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</si>
  <si>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</si>
  <si>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</si>
  <si>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</si>
  <si>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</si>
  <si>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</si>
  <si>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</si>
  <si>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</si>
  <si>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</si>
  <si>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</si>
  <si>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</si>
  <si>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</si>
  <si>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</si>
  <si>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</si>
  <si>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</si>
  <si>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</si>
  <si>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</si>
  <si>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</si>
  <si>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</si>
  <si>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</si>
  <si>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</si>
  <si>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</si>
  <si>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</si>
  <si>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</si>
  <si>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</si>
  <si>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</si>
  <si>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</si>
  <si>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</si>
  <si>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</si>
  <si>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</si>
  <si>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</si>
  <si>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</si>
  <si>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</si>
  <si>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</si>
  <si>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</si>
  <si>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</si>
  <si>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</si>
  <si>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</si>
  <si>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</si>
  <si>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</si>
  <si>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</si>
  <si>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</si>
  <si>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</si>
  <si>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</si>
  <si>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</si>
  <si>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</si>
  <si>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</si>
  <si>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</si>
  <si>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</si>
  <si>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</si>
  <si>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</si>
  <si>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</si>
  <si>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</si>
  <si>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</si>
  <si>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</si>
  <si>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</si>
  <si>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</si>
  <si>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</si>
  <si>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</si>
  <si>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</si>
  <si>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</si>
  <si>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</si>
  <si>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</si>
  <si>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</si>
  <si>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</si>
  <si>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</si>
  <si>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</si>
  <si>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</si>
  <si>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</si>
  <si>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</si>
  <si>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</si>
  <si>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</si>
  <si>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</si>
  <si>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</si>
  <si>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</si>
  <si>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</si>
  <si>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</si>
  <si>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</si>
  <si>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</si>
  <si>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</si>
  <si>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</si>
  <si>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</si>
  <si>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</si>
  <si>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</si>
  <si>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</si>
  <si>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</si>
  <si>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</si>
  <si>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</si>
  <si>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</si>
  <si>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</si>
  <si>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</si>
  <si>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</si>
  <si>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</si>
  <si>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</si>
  <si>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</si>
  <si>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</si>
  <si>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</si>
  <si>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</si>
  <si>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</si>
  <si>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</si>
  <si>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</si>
  <si>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</si>
  <si>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</si>
  <si>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</si>
  <si>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</si>
  <si>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</si>
  <si>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</si>
  <si>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</si>
  <si>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</si>
  <si>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</si>
  <si>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</si>
  <si>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</si>
  <si>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</si>
  <si>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</si>
  <si>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</si>
  <si>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</si>
  <si>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</si>
  <si>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</si>
  <si>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</si>
  <si>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</si>
  <si>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</si>
  <si>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</si>
  <si>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</si>
  <si>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</si>
  <si>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</si>
  <si>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</si>
  <si>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</si>
  <si>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</si>
  <si>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</si>
  <si>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</si>
  <si>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</si>
  <si>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</si>
  <si>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</si>
  <si>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</si>
  <si>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</si>
  <si>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</si>
  <si>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</si>
  <si>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</si>
  <si>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</si>
  <si>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</si>
  <si>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</si>
  <si>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</si>
  <si>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</si>
  <si>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</si>
  <si>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</si>
  <si>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</si>
  <si>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</si>
  <si>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</si>
  <si>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</si>
  <si>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</si>
  <si>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</si>
  <si>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</si>
  <si>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</si>
  <si>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</si>
  <si>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</si>
  <si>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</si>
  <si>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</si>
  <si>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</si>
  <si>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</si>
  <si>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</si>
  <si>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</si>
  <si>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</si>
  <si>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</si>
  <si>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</si>
  <si>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</si>
  <si>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</si>
  <si>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</si>
  <si>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</si>
  <si>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</si>
  <si>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</si>
  <si>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</si>
  <si>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</si>
  <si>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</si>
  <si>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</si>
  <si>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</si>
  <si>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</si>
  <si>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</si>
  <si>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</si>
  <si>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</si>
  <si>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</si>
  <si>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</si>
  <si>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</si>
  <si>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</si>
  <si>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</si>
  <si>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</si>
  <si>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</si>
  <si>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</si>
  <si>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</si>
  <si>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</si>
  <si>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</si>
  <si>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</si>
  <si>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</si>
  <si>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</si>
  <si>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</si>
  <si>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</si>
  <si>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</si>
  <si>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</si>
  <si>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</si>
  <si>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</si>
  <si>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</si>
  <si>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</si>
  <si>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</si>
  <si>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</si>
  <si>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</si>
  <si>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</si>
  <si>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</si>
  <si>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</si>
  <si>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</si>
  <si>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</si>
  <si>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</si>
  <si>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</si>
  <si>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</si>
  <si>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</si>
  <si>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</si>
  <si>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</si>
  <si>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</si>
  <si>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</si>
  <si>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</si>
  <si>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</si>
  <si>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</si>
  <si>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</si>
  <si>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</si>
  <si>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</si>
  <si>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</si>
  <si>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</si>
  <si>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</si>
  <si>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</si>
  <si>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</si>
  <si>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</si>
  <si>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</si>
  <si>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</si>
  <si>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</si>
  <si>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</si>
  <si>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</si>
  <si>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</si>
  <si>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</si>
  <si>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</si>
  <si>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</si>
  <si>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</si>
  <si>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</si>
  <si>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</si>
  <si>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</si>
  <si>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</si>
  <si>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</si>
  <si>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</si>
  <si>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</si>
  <si>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</si>
  <si>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</si>
  <si>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</si>
  <si>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</si>
  <si>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</si>
  <si>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</si>
  <si>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</si>
  <si>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</si>
  <si>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</si>
  <si>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</si>
  <si>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</si>
  <si>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</si>
  <si>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</si>
  <si>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</si>
  <si>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</si>
  <si>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</si>
  <si>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</si>
  <si>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</si>
  <si>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</si>
  <si>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</si>
  <si>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</si>
  <si>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</si>
  <si>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</si>
  <si>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</si>
  <si>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</si>
  <si>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</si>
  <si>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</si>
  <si>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</si>
  <si>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</si>
  <si>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</si>
  <si>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</si>
  <si>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</si>
  <si>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</si>
  <si>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</si>
  <si>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</si>
  <si>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</si>
  <si>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</si>
  <si>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</si>
  <si>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</si>
  <si>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</si>
  <si>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</si>
  <si>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</si>
  <si>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</si>
  <si>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</si>
  <si>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</si>
  <si>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</si>
  <si>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</si>
  <si>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</si>
  <si>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</si>
  <si>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</si>
  <si>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</si>
  <si>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</si>
  <si>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</si>
  <si>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</si>
  <si>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</si>
  <si>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</si>
  <si>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</si>
  <si>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</si>
  <si>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</si>
  <si>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</si>
  <si>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</si>
  <si>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</si>
  <si>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</si>
  <si>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</si>
  <si>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</si>
  <si>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</si>
  <si>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</si>
  <si>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</si>
  <si>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</si>
  <si>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</si>
  <si>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</si>
  <si>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</si>
  <si>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</si>
  <si>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</si>
  <si>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</si>
  <si>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</si>
  <si>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</si>
  <si>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</si>
  <si>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</si>
  <si>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</si>
  <si>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</si>
  <si>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</si>
  <si>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</si>
  <si>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</si>
  <si>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</si>
  <si>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</si>
  <si>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</si>
  <si>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</si>
  <si>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</si>
  <si>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</si>
  <si>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</si>
  <si>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</si>
  <si>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</si>
  <si>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</si>
  <si>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</si>
  <si>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</si>
  <si>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</si>
  <si>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</si>
  <si>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</si>
  <si>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</si>
  <si>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</si>
  <si>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</si>
  <si>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</si>
  <si>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</si>
  <si>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</si>
  <si>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</si>
  <si>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</si>
  <si>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</si>
  <si>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</si>
  <si>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</si>
  <si>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</si>
  <si>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</si>
  <si>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</si>
  <si>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</si>
  <si>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</si>
  <si>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</si>
  <si>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</si>
  <si>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</si>
  <si>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</si>
  <si>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</si>
  <si>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</si>
  <si>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</si>
  <si>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</si>
  <si>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</si>
  <si>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</si>
  <si>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</si>
  <si>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</si>
  <si>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</si>
  <si>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</si>
  <si>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</si>
  <si>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</si>
  <si>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</si>
  <si>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</si>
  <si>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</si>
  <si>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</si>
  <si>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</si>
  <si>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</si>
  <si>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</si>
  <si>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</si>
  <si>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</si>
  <si>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</si>
  <si>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</si>
  <si>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</si>
  <si>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</si>
  <si>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</si>
  <si>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</si>
  <si>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</si>
  <si>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</si>
  <si>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</si>
  <si>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</si>
  <si>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</si>
  <si>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</si>
  <si>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</si>
  <si>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</si>
  <si>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</si>
  <si>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</si>
  <si>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</si>
  <si>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</si>
  <si>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</si>
  <si>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</si>
  <si>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</si>
  <si>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</si>
  <si>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</si>
  <si>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</si>
  <si>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</si>
  <si>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</si>
  <si>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</si>
  <si>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</si>
  <si>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</si>
  <si>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</si>
  <si>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</si>
  <si>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</si>
  <si>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</si>
  <si>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</si>
  <si>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</si>
  <si>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</si>
  <si>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</si>
  <si>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</si>
  <si>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</si>
  <si>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</si>
  <si>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</si>
  <si>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</si>
  <si>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</si>
  <si>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</si>
  <si>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</si>
  <si>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</si>
  <si>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</si>
  <si>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</si>
  <si>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</si>
  <si>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</si>
  <si>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</si>
  <si>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</si>
  <si>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</si>
  <si>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</si>
  <si>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</si>
  <si>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</si>
  <si>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</si>
  <si>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</si>
  <si>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</si>
  <si>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</si>
  <si>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</si>
  <si>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</si>
  <si>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</si>
  <si>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</si>
  <si>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</si>
  <si>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</si>
  <si>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</si>
  <si>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</si>
  <si>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</si>
  <si>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</si>
  <si>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</si>
  <si>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</si>
  <si>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</si>
  <si>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</si>
  <si>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</si>
  <si>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</si>
  <si>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</si>
  <si>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</si>
  <si>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</si>
  <si>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</si>
  <si>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</si>
  <si>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</si>
  <si>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</si>
  <si>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</si>
  <si>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</si>
  <si>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</si>
  <si>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</si>
  <si>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</si>
  <si>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</si>
  <si>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</si>
  <si>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</si>
  <si>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</si>
  <si>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</si>
  <si>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</si>
  <si>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</si>
  <si>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</si>
  <si>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</si>
  <si>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</si>
  <si>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</si>
  <si>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</si>
  <si>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</si>
  <si>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</si>
  <si>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</si>
  <si>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</si>
  <si>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</si>
  <si>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</si>
  <si>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</si>
  <si>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</si>
  <si>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</si>
  <si>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</si>
  <si>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</si>
  <si>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</si>
  <si>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</si>
  <si>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</si>
  <si>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</si>
  <si>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</si>
  <si>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</si>
  <si>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</si>
  <si>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</si>
  <si>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</si>
  <si>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</si>
  <si>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</si>
  <si>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</si>
  <si>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</si>
  <si>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</si>
  <si>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</si>
  <si>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</si>
  <si>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</si>
  <si>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</si>
  <si>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</si>
  <si>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</si>
  <si>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</si>
  <si>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</si>
  <si>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</si>
  <si>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</si>
  <si>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</si>
  <si>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</si>
  <si>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</si>
  <si>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</si>
  <si>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</si>
  <si>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</si>
  <si>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</si>
  <si>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</si>
  <si>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</si>
  <si>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</si>
  <si>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</si>
  <si>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</si>
  <si>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</si>
  <si>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</si>
  <si>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</si>
  <si>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</si>
  <si>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</si>
  <si>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</si>
  <si>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</si>
  <si>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</si>
  <si>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</si>
  <si>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</si>
  <si>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</si>
  <si>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</si>
  <si>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</si>
  <si>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</si>
  <si>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</si>
  <si>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</si>
  <si>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</si>
  <si>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</si>
  <si>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</si>
  <si>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</si>
  <si>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</si>
  <si>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</si>
  <si>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</si>
  <si>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</si>
  <si>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</si>
  <si>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</si>
  <si>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</si>
  <si>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</si>
  <si>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</si>
  <si>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</si>
  <si>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</si>
  <si>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</si>
  <si>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</si>
  <si>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</si>
  <si>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</si>
  <si>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</si>
  <si>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</si>
  <si>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</si>
  <si>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</si>
  <si>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</si>
  <si>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</si>
  <si>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</si>
  <si>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</si>
  <si>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</si>
  <si>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</si>
  <si>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</si>
  <si>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</si>
  <si>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</si>
  <si>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</si>
  <si>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</si>
  <si>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</si>
  <si>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</si>
  <si>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</si>
  <si>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</si>
  <si>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</si>
  <si>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</si>
  <si>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</si>
  <si>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</si>
  <si>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</si>
  <si>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</si>
  <si>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</si>
  <si>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</si>
  <si>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</si>
  <si>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</si>
  <si>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</si>
  <si>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</si>
  <si>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</si>
  <si>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</si>
  <si>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</si>
  <si>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</si>
  <si>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</si>
  <si>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</si>
  <si>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</si>
  <si>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</si>
  <si>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</si>
  <si>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</si>
  <si>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</si>
  <si>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</si>
  <si>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</si>
  <si>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</si>
  <si>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</si>
  <si>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</si>
  <si>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</si>
  <si>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</si>
  <si>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</si>
  <si>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</si>
  <si>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</si>
  <si>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</si>
  <si>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</si>
  <si>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</si>
  <si>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</si>
  <si>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</si>
  <si>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</si>
  <si>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</si>
  <si>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</si>
  <si>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</si>
  <si>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</si>
  <si>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</si>
  <si>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</si>
  <si>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</si>
  <si>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</si>
  <si>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</si>
  <si>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</si>
  <si>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</si>
  <si>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</si>
  <si>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</si>
  <si>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</si>
  <si>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</si>
  <si>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</si>
  <si>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</si>
  <si>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</si>
  <si>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</si>
  <si>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</si>
  <si>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</si>
  <si>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</si>
  <si>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</si>
  <si>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</si>
  <si>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</si>
  <si>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</si>
  <si>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</si>
  <si>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</si>
  <si>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</si>
  <si>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</si>
  <si>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</si>
  <si>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</si>
  <si>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</si>
  <si>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</si>
  <si>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</si>
  <si>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</si>
  <si>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</si>
  <si>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</si>
  <si>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</si>
  <si>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</si>
  <si>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</si>
  <si>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</si>
  <si>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</si>
  <si>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</si>
  <si>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</si>
  <si>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</si>
  <si>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</si>
  <si>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</si>
  <si>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</si>
  <si>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</si>
  <si>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</si>
  <si>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</si>
  <si>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</si>
  <si>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</si>
  <si>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</si>
  <si>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</si>
  <si>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</si>
  <si>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</si>
  <si>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</si>
  <si>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</si>
  <si>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</si>
  <si>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</si>
  <si>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</si>
  <si>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</si>
  <si>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</si>
  <si>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</si>
  <si>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</si>
  <si>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</si>
  <si>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</si>
  <si>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</si>
  <si>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</si>
  <si>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</si>
  <si>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</si>
  <si>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</si>
  <si>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</si>
  <si>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</si>
  <si>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</si>
  <si>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</si>
  <si>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</si>
  <si>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</si>
  <si>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</si>
  <si>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</si>
  <si>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</si>
  <si>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</si>
  <si>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</si>
  <si>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</si>
  <si>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</si>
  <si>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</si>
  <si>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</si>
  <si>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</si>
  <si>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</si>
  <si>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</si>
  <si>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</si>
  <si>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</si>
  <si>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</si>
  <si>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</si>
  <si>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</si>
  <si>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</si>
  <si>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</si>
  <si>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</si>
  <si>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</si>
  <si>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</si>
  <si>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</si>
  <si>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</si>
  <si>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</si>
  <si>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</si>
  <si>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</si>
  <si>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</si>
  <si>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</si>
  <si>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</si>
  <si>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</si>
  <si>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</si>
  <si>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</si>
  <si>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</si>
  <si>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</si>
  <si>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</si>
  <si>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</si>
  <si>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</si>
  <si>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</si>
  <si>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</si>
  <si>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</si>
  <si>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</si>
  <si>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</si>
  <si>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</si>
  <si>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</si>
  <si>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</si>
  <si>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</si>
  <si>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</si>
  <si>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</si>
  <si>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</si>
  <si>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</si>
  <si>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</si>
  <si>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</si>
  <si>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</si>
  <si>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</si>
  <si>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</si>
  <si>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</si>
  <si>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</si>
  <si>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</si>
  <si>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</si>
  <si>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</si>
  <si>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</si>
  <si>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</si>
  <si>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</si>
  <si>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</si>
  <si>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</si>
  <si>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</si>
  <si>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</si>
  <si>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</si>
  <si>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</si>
  <si>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</si>
  <si>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</si>
  <si>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</si>
  <si>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</si>
  <si>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</si>
  <si>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</si>
  <si>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</si>
  <si>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</si>
  <si>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</si>
  <si>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</si>
  <si>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</si>
  <si>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</si>
  <si>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</si>
  <si>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</si>
  <si>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</si>
  <si>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</si>
  <si>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</si>
  <si>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</si>
  <si>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</si>
  <si>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</si>
  <si>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</si>
  <si>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</si>
  <si>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</si>
  <si>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</si>
  <si>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</si>
  <si>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</si>
  <si>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</si>
  <si>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</si>
  <si>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</si>
  <si>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</si>
  <si>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</si>
  <si>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</si>
  <si>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</si>
  <si>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</si>
  <si>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</si>
  <si>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</si>
  <si>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</si>
  <si>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</si>
  <si>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</si>
  <si>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</si>
  <si>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</si>
  <si>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</si>
  <si>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</si>
  <si>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</si>
  <si>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</si>
  <si>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</si>
  <si>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</si>
  <si>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</si>
  <si>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</si>
  <si>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</si>
  <si>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</si>
  <si>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</si>
  <si>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</si>
  <si>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</si>
  <si>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</si>
  <si>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</si>
  <si>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</si>
  <si>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</si>
  <si>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</si>
  <si>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</si>
  <si>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</si>
  <si>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</si>
  <si>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</si>
  <si>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</si>
  <si>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</si>
  <si>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</si>
  <si>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</si>
  <si>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</si>
  <si>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</si>
  <si>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</si>
  <si>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</si>
  <si>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</si>
  <si>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</si>
  <si>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</si>
  <si>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</si>
  <si>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</si>
  <si>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</si>
  <si>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</si>
  <si>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</si>
  <si>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</si>
  <si>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</si>
  <si>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</si>
  <si>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</si>
  <si>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</si>
  <si>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</si>
  <si>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</si>
  <si>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</si>
  <si>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</si>
  <si>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</si>
  <si>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</si>
  <si>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</si>
  <si>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</si>
  <si>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</si>
  <si>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</si>
  <si>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</si>
  <si>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</si>
  <si>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</si>
  <si>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</si>
  <si>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</si>
  <si>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</si>
  <si>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</si>
  <si>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</si>
  <si>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</si>
  <si>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</si>
  <si>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</si>
  <si>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</si>
  <si>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</si>
  <si>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</si>
  <si>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</si>
  <si>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</si>
  <si>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</si>
  <si>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</si>
  <si>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</si>
  <si>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</si>
  <si>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</si>
  <si>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</si>
  <si>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</si>
  <si>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</si>
  <si>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</si>
  <si>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</si>
  <si>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</si>
  <si>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</si>
  <si>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</si>
  <si>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</si>
  <si>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</si>
  <si>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</si>
  <si>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</si>
  <si>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</si>
  <si>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</si>
  <si>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</si>
  <si>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</si>
  <si>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</si>
  <si>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</si>
  <si>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</si>
  <si>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</si>
  <si>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</si>
  <si>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</si>
  <si>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</si>
  <si>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</si>
  <si>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</si>
  <si>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</si>
  <si>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</si>
  <si>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</si>
  <si>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</si>
  <si>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</si>
  <si>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</si>
  <si>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</si>
  <si>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</si>
  <si>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</si>
  <si>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</si>
  <si>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</si>
  <si>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</si>
  <si>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</si>
  <si>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</si>
  <si>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</si>
  <si>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</si>
  <si>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</si>
  <si>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</si>
  <si>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</si>
  <si>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</si>
  <si>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</si>
  <si>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</si>
  <si>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</si>
  <si>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</si>
  <si>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</si>
  <si>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</si>
  <si>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</si>
  <si>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</si>
  <si>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</si>
  <si>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</si>
  <si>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</si>
  <si>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</si>
  <si>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</si>
  <si>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</si>
  <si>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</si>
  <si>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</si>
  <si>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</si>
  <si>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</si>
  <si>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</si>
  <si>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</si>
  <si>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</si>
  <si>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</si>
  <si>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</si>
  <si>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</si>
  <si>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</si>
  <si>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</si>
  <si>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</si>
  <si>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</si>
  <si>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</si>
  <si>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</si>
  <si>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</si>
  <si>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</si>
  <si>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</si>
  <si>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</si>
  <si>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</si>
  <si>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</si>
  <si>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</si>
  <si>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</si>
  <si>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</si>
  <si>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</si>
  <si>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</si>
  <si>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</si>
  <si>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</si>
  <si>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</si>
  <si>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</si>
  <si>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</si>
  <si>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</si>
  <si>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</si>
  <si>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</si>
  <si>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</si>
  <si>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</si>
  <si>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</si>
  <si>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</si>
  <si>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</si>
  <si>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</si>
  <si>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</si>
  <si>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</si>
  <si>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</si>
  <si>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</si>
  <si>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</si>
  <si>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</si>
  <si>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</si>
  <si>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</si>
  <si>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</si>
  <si>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</si>
  <si>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</si>
  <si>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</si>
  <si>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</si>
  <si>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</si>
  <si>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</si>
  <si>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</si>
  <si>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</si>
  <si>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</si>
  <si>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</si>
  <si>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</si>
  <si>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</si>
  <si>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</si>
  <si>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</si>
  <si>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</si>
  <si>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</si>
  <si>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</si>
  <si>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</si>
  <si>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</si>
  <si>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</si>
  <si>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</si>
  <si>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</si>
  <si>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</si>
  <si>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</si>
  <si>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</si>
  <si>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</si>
  <si>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</si>
  <si>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</si>
  <si>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</si>
  <si>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</si>
  <si>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</si>
  <si>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</si>
  <si>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</si>
  <si>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</si>
  <si>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</si>
  <si>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</si>
  <si>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</si>
  <si>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</si>
  <si>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</si>
  <si>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</si>
  <si>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</si>
  <si>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</si>
  <si>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</si>
  <si>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</si>
  <si>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</si>
  <si>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</si>
  <si>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</si>
  <si>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</si>
  <si>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</si>
  <si>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</si>
  <si>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</si>
  <si>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</si>
  <si>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</si>
  <si>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</si>
  <si>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</si>
  <si>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</si>
  <si>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</si>
  <si>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</si>
  <si>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</si>
  <si>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</si>
  <si>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</si>
  <si>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</si>
  <si>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</si>
  <si>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</si>
  <si>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</si>
  <si>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</si>
  <si>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</si>
  <si>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</si>
  <si>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</si>
  <si>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</si>
  <si>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</si>
  <si>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</si>
  <si>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</si>
  <si>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</si>
  <si>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</si>
  <si>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</si>
  <si>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</si>
  <si>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</si>
  <si>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</si>
  <si>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</si>
  <si>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</si>
  <si>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</si>
  <si>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</si>
  <si>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</si>
  <si>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</si>
  <si>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</si>
  <si>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</si>
  <si>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</si>
  <si>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</si>
  <si>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</si>
  <si>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</si>
  <si>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</si>
  <si>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</si>
  <si>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</si>
  <si>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</si>
  <si>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</si>
  <si>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</si>
  <si>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</si>
  <si>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</si>
  <si>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</si>
  <si>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</si>
  <si>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</si>
  <si>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</si>
  <si>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</si>
  <si>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</si>
  <si>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</si>
  <si>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</si>
  <si>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</si>
  <si>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</si>
  <si>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</si>
  <si>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</si>
  <si>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</si>
  <si>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</si>
  <si>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</si>
  <si>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</si>
  <si>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</si>
  <si>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</si>
  <si>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</si>
  <si>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</si>
  <si>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</si>
  <si>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</si>
  <si>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</si>
  <si>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</si>
  <si>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</si>
  <si>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</si>
  <si>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</si>
  <si>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</si>
  <si>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</si>
  <si>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</si>
  <si>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</si>
  <si>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</si>
  <si>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</si>
  <si>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</si>
  <si>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</si>
  <si>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</si>
  <si>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</si>
  <si>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</si>
  <si>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</si>
  <si>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</si>
  <si>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</si>
  <si>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</si>
  <si>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</si>
  <si>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</si>
  <si>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</si>
  <si>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</si>
  <si>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</si>
  <si>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</si>
  <si>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</si>
  <si>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</si>
  <si>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</si>
  <si>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</si>
  <si>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</si>
  <si>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</si>
  <si>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</si>
  <si>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</si>
  <si>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</si>
  <si>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</si>
  <si>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</si>
  <si>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</si>
  <si>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</si>
  <si>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</si>
  <si>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</si>
  <si>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</si>
  <si>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</si>
  <si>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</si>
  <si>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</si>
  <si>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</si>
  <si>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</si>
  <si>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</si>
  <si>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</si>
  <si>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</si>
  <si>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</si>
  <si>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</si>
  <si>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</si>
  <si>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</si>
  <si>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</si>
  <si>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</si>
  <si>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</si>
  <si>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</si>
  <si>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</si>
  <si>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</si>
  <si>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</si>
  <si>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</si>
  <si>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</si>
  <si>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</si>
  <si>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</si>
  <si>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</si>
  <si>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</si>
  <si>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</si>
  <si>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</si>
  <si>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</si>
  <si>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</si>
  <si>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</si>
  <si>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</si>
  <si>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</si>
  <si>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</si>
  <si>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</si>
  <si>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</si>
  <si>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</si>
  <si>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</si>
  <si>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</si>
  <si>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</si>
  <si>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</si>
  <si>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</si>
  <si>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</si>
  <si>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</si>
  <si>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</si>
  <si>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</si>
  <si>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</si>
  <si>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</si>
  <si>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</si>
  <si>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</si>
  <si>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</si>
  <si>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</si>
  <si>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</si>
  <si>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</si>
  <si>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</si>
  <si>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</si>
  <si>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</si>
  <si>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</si>
  <si>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</si>
  <si>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</si>
  <si>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</si>
  <si>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</si>
  <si>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</si>
  <si>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</si>
  <si>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</si>
  <si>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</si>
  <si>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</si>
  <si>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</si>
  <si>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</si>
  <si>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</si>
  <si>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</si>
  <si>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</si>
  <si>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</si>
  <si>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</si>
  <si>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</si>
  <si>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</si>
  <si>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</si>
  <si>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</si>
  <si>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</si>
  <si>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</si>
  <si>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</si>
  <si>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</si>
  <si>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</si>
  <si>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</si>
  <si>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</si>
  <si>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</si>
  <si>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</si>
  <si>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</si>
  <si>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</si>
  <si>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</si>
  <si>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</si>
  <si>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</si>
  <si>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</si>
  <si>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</si>
  <si>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</si>
  <si>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</si>
  <si>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</si>
  <si>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</si>
  <si>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</si>
  <si>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</si>
  <si>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</si>
  <si>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</si>
  <si>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</si>
  <si>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</si>
  <si>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</si>
  <si>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</si>
  <si>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</si>
  <si>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</si>
  <si>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</si>
  <si>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</si>
  <si>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</si>
  <si>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</si>
  <si>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</si>
  <si>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</si>
  <si>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</si>
  <si>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</si>
  <si>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</si>
  <si>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</si>
  <si>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</si>
  <si>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</si>
  <si>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</si>
  <si>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</si>
  <si>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</si>
  <si>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</si>
  <si>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</si>
  <si>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</si>
  <si>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</si>
  <si>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</si>
  <si>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</si>
  <si>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</si>
  <si>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</si>
  <si>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</si>
  <si>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</si>
  <si>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</si>
  <si>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</si>
  <si>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</si>
  <si>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</si>
  <si>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</si>
  <si>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</si>
  <si>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</si>
  <si>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</si>
  <si>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</si>
  <si>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</si>
  <si>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</si>
  <si>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</si>
  <si>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</si>
  <si>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</si>
  <si>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</si>
  <si>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</si>
  <si>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</si>
  <si>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</si>
  <si>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</si>
  <si>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</si>
  <si>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</si>
  <si>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</si>
  <si>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</si>
  <si>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</si>
  <si>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</si>
  <si>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</si>
  <si>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</si>
  <si>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</si>
  <si>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</si>
  <si>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</si>
  <si>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</si>
  <si>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</si>
  <si>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</si>
  <si>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</si>
  <si>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</si>
  <si>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</si>
  <si>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</si>
  <si>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</si>
  <si>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</si>
  <si>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</si>
  <si>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</si>
  <si>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</si>
  <si>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</si>
  <si>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</si>
  <si>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</si>
  <si>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</si>
  <si>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</si>
  <si>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</si>
  <si>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</si>
  <si>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</si>
  <si>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</si>
  <si>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</si>
  <si>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</si>
  <si>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</si>
  <si>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</si>
  <si>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</si>
  <si>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</si>
  <si>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</si>
  <si>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</si>
  <si>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</si>
  <si>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</si>
  <si>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</si>
  <si>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</si>
  <si>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</si>
  <si>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</si>
  <si>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</si>
  <si>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</si>
  <si>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</si>
  <si>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</si>
  <si>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</si>
  <si>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</si>
  <si>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</si>
  <si>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</si>
  <si>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</si>
  <si>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</si>
  <si>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</si>
  <si>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</si>
  <si>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</si>
  <si>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</si>
  <si>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</si>
  <si>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</si>
  <si>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</si>
  <si>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</si>
  <si>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</si>
  <si>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</si>
  <si>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</si>
  <si>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</si>
  <si>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</si>
  <si>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</si>
  <si>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</si>
  <si>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</si>
  <si>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</si>
  <si>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</si>
  <si>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</si>
  <si>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</si>
  <si>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</si>
  <si>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</si>
  <si>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</si>
  <si>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</si>
  <si>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</si>
  <si>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</si>
  <si>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</si>
  <si>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</si>
  <si>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</si>
  <si>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</si>
  <si>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</si>
  <si>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</si>
  <si>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</si>
  <si>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</si>
  <si>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</si>
  <si>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</si>
  <si>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</si>
  <si>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</si>
  <si>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</si>
  <si>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</si>
  <si>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</si>
  <si>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</si>
  <si>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</si>
  <si>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</si>
  <si>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</si>
  <si>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</si>
  <si>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</si>
  <si>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</si>
  <si>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</si>
  <si>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</si>
  <si>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</si>
  <si>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</si>
  <si>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</si>
  <si>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</si>
  <si>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</si>
  <si>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</si>
  <si>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</si>
  <si>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</si>
  <si>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</si>
  <si>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</si>
  <si>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</si>
  <si>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</si>
  <si>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</si>
  <si>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</si>
  <si>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</si>
  <si>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</si>
  <si>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</si>
  <si>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</si>
  <si>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</si>
  <si>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</si>
  <si>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</si>
  <si>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</si>
  <si>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</si>
  <si>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</si>
  <si>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</si>
  <si>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</si>
  <si>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</si>
  <si>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</si>
  <si>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</si>
  <si>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</si>
  <si>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</si>
  <si>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</si>
  <si>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</si>
  <si>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</si>
  <si>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</si>
  <si>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</si>
  <si>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</si>
  <si>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</si>
  <si>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</si>
  <si>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</si>
  <si>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</si>
  <si>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</si>
  <si>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</si>
  <si>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</si>
  <si>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</si>
  <si>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</si>
  <si>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</si>
  <si>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</si>
  <si>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</si>
  <si>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</si>
  <si>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</si>
  <si>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</si>
  <si>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</si>
  <si>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</si>
  <si>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</si>
  <si>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</si>
  <si>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</si>
  <si>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</si>
  <si>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</si>
  <si>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</si>
  <si>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</si>
  <si>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</si>
  <si>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</si>
  <si>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</si>
  <si>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</si>
  <si>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</si>
  <si>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</si>
  <si>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</si>
  <si>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</si>
  <si>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</si>
  <si>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</si>
  <si>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</si>
  <si>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</si>
  <si>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</si>
  <si>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</si>
  <si>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</si>
  <si>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</si>
  <si>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</si>
  <si>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</si>
  <si>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</si>
  <si>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</si>
  <si>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</si>
  <si>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</si>
  <si>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</si>
  <si>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</si>
  <si>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</si>
  <si>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</si>
  <si>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</si>
  <si>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</si>
  <si>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</si>
  <si>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</si>
  <si>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</si>
  <si>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</si>
  <si>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</si>
  <si>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</si>
  <si>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</si>
  <si>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</si>
  <si>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</si>
  <si>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</si>
  <si>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</si>
  <si>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</si>
  <si>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</si>
  <si>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</si>
  <si>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</si>
  <si>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</si>
  <si>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</si>
  <si>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</si>
  <si>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</si>
  <si>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</si>
  <si>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</si>
  <si>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</si>
  <si>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</si>
  <si>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</si>
  <si>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</si>
  <si>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</si>
  <si>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</si>
  <si>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</si>
  <si>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</si>
  <si>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</si>
  <si>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</si>
  <si>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</si>
  <si>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</si>
  <si>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</si>
  <si>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</si>
  <si>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</si>
  <si>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</si>
  <si>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</si>
  <si>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</si>
  <si>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</si>
  <si>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</si>
  <si>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</si>
  <si>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</si>
  <si>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</si>
  <si>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</si>
  <si>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</si>
  <si>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</si>
  <si>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</si>
  <si>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</si>
  <si>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</si>
  <si>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</si>
  <si>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</si>
  <si>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</si>
  <si>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</si>
  <si>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</si>
  <si>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</si>
  <si>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</si>
  <si>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</si>
  <si>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</si>
  <si>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</si>
  <si>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</si>
  <si>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</si>
  <si>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</si>
  <si>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</si>
  <si>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</si>
  <si>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</si>
  <si>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</si>
  <si>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</si>
  <si>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</si>
  <si>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</si>
  <si>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</si>
  <si>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</si>
  <si>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</si>
  <si>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</si>
  <si>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</si>
  <si>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</si>
  <si>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</si>
  <si>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</si>
  <si>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</si>
  <si>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</si>
  <si>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</si>
  <si>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</si>
  <si>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</si>
  <si>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</si>
  <si>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</si>
  <si>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</si>
  <si>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</si>
  <si>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</si>
  <si>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</si>
  <si>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</si>
  <si>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</si>
  <si>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</si>
  <si>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</si>
  <si>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</si>
  <si>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</si>
  <si>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</si>
  <si>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</si>
  <si>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</si>
  <si>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</si>
  <si>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</si>
  <si>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</si>
  <si>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</si>
  <si>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</si>
  <si>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</si>
  <si>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</si>
  <si>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</si>
  <si>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</si>
  <si>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</si>
  <si>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</si>
  <si>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</si>
  <si>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</si>
  <si>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</si>
  <si>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</si>
  <si>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</si>
  <si>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</si>
  <si>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</si>
  <si>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</si>
  <si>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</si>
  <si>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</si>
  <si>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</si>
  <si>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</si>
  <si>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</si>
  <si>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</si>
  <si>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</si>
  <si>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</si>
  <si>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</si>
  <si>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</si>
  <si>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</si>
  <si>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</si>
  <si>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</si>
  <si>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</si>
  <si>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</si>
  <si>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</si>
  <si>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</si>
  <si>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</si>
  <si>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</si>
  <si>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</si>
  <si>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</si>
  <si>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</si>
  <si>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</si>
  <si>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</si>
  <si>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</si>
  <si>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</si>
  <si>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</si>
  <si>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</si>
  <si>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</si>
  <si>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</si>
  <si>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</si>
  <si>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</si>
  <si>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</si>
  <si>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</si>
  <si>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</si>
  <si>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</si>
  <si>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</si>
  <si>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</si>
  <si>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</si>
  <si>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</si>
  <si>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</si>
  <si>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</si>
  <si>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</si>
  <si>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</si>
  <si>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</si>
  <si>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</si>
  <si>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</si>
  <si>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</si>
  <si>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</si>
  <si>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</si>
  <si>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</si>
  <si>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</si>
  <si>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</si>
  <si>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</si>
  <si>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</si>
  <si>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</si>
  <si>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</si>
  <si>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</si>
  <si>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</si>
  <si>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</si>
  <si>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</si>
  <si>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</si>
  <si>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</si>
  <si>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</si>
  <si>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</si>
  <si>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</si>
  <si>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</si>
  <si>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</si>
  <si>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</si>
  <si>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</si>
  <si>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</si>
  <si>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</si>
  <si>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</si>
  <si>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</si>
  <si>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</si>
  <si>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</si>
  <si>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</si>
  <si>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</si>
  <si>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</si>
  <si>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</si>
  <si>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</si>
  <si>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</si>
  <si>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</si>
  <si>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</si>
  <si>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</si>
  <si>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</si>
  <si>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</si>
  <si>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</si>
  <si>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</si>
  <si>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</si>
  <si>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</si>
  <si>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</si>
  <si>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</si>
  <si>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</si>
  <si>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</si>
  <si>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</si>
  <si>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</si>
  <si>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</si>
  <si>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</si>
  <si>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</si>
  <si>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</si>
  <si>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</si>
  <si>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</si>
  <si>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</si>
  <si>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</si>
  <si>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</si>
  <si>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</si>
  <si>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</si>
  <si>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</si>
  <si>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</si>
  <si>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</si>
  <si>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</si>
  <si>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</si>
  <si>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</si>
  <si>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</si>
  <si>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</si>
  <si>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</si>
  <si>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</si>
  <si>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</si>
  <si>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</si>
  <si>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</si>
  <si>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</si>
  <si>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</si>
  <si>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</si>
  <si>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</si>
  <si>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</si>
  <si>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</si>
  <si>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</si>
  <si>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</si>
  <si>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</si>
  <si>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</si>
  <si>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</si>
  <si>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</si>
  <si>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</si>
  <si>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</si>
  <si>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</si>
  <si>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</si>
  <si>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</si>
  <si>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</si>
  <si>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</si>
  <si>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</si>
  <si>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</si>
  <si>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</si>
  <si>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</si>
  <si>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</si>
  <si>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</si>
  <si>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</si>
  <si>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</si>
  <si>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</si>
  <si>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</si>
  <si>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</si>
  <si>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</si>
  <si>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</si>
  <si>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</si>
  <si>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</si>
  <si>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</si>
  <si>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</si>
  <si>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</si>
  <si>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</si>
  <si>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</si>
  <si>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</si>
  <si>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</si>
  <si>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</si>
  <si>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</si>
  <si>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</si>
  <si>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</si>
  <si>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</si>
  <si>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</si>
  <si>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</si>
  <si>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</si>
  <si>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</si>
  <si>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</si>
  <si>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</si>
  <si>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</si>
  <si>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</si>
  <si>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</si>
  <si>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</si>
  <si>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</si>
  <si>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</si>
  <si>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</si>
  <si>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</si>
  <si>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</si>
  <si>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</si>
  <si>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</si>
  <si>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</si>
  <si>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</si>
  <si>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</si>
  <si>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</si>
  <si>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</si>
  <si>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</si>
  <si>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</si>
  <si>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</si>
  <si>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</si>
  <si>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</si>
  <si>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</si>
  <si>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</si>
  <si>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</si>
  <si>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</si>
  <si>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</si>
  <si>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</si>
  <si>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</si>
  <si>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</si>
  <si>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</si>
  <si>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</si>
  <si>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</si>
  <si>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</si>
  <si>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</si>
  <si>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</si>
  <si>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</si>
  <si>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</si>
  <si>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</si>
  <si>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</si>
  <si>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</si>
  <si>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</si>
  <si>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</si>
  <si>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</si>
  <si>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</si>
  <si>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</si>
  <si>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</si>
  <si>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</si>
  <si>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</si>
  <si>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</si>
  <si>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</si>
  <si>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</si>
  <si>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</si>
  <si>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</si>
  <si>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</si>
  <si>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</si>
  <si>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</si>
  <si>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</si>
  <si>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</si>
  <si>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</si>
  <si>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</si>
  <si>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</si>
  <si>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</si>
  <si>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</si>
  <si>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</si>
  <si>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</si>
  <si>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</si>
  <si>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</si>
  <si>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</si>
  <si>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</si>
  <si>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</si>
  <si>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</si>
  <si>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</si>
  <si>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</si>
  <si>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</si>
  <si>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</si>
  <si>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</si>
  <si>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</si>
  <si>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</si>
  <si>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</si>
  <si>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</si>
  <si>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</si>
  <si>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</si>
  <si>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</si>
  <si>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</si>
  <si>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</si>
  <si>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</si>
  <si>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</si>
  <si>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</si>
  <si>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</si>
  <si>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</si>
  <si>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</si>
  <si>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</si>
  <si>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</si>
  <si>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</si>
  <si>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</si>
  <si>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</si>
  <si>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</si>
  <si>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</si>
  <si>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</si>
  <si>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</si>
  <si>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</si>
  <si>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</si>
  <si>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</si>
  <si>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</si>
  <si>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</si>
  <si>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</si>
  <si>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</si>
  <si>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</si>
  <si>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</si>
  <si>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</si>
  <si>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</si>
  <si>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</si>
  <si>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</si>
  <si>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</si>
  <si>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</si>
  <si>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</si>
  <si>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</si>
  <si>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</si>
  <si>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</si>
  <si>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</si>
  <si>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</si>
  <si>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</si>
  <si>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</si>
  <si>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</si>
  <si>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</si>
  <si>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</si>
  <si>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</si>
  <si>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</si>
  <si>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</si>
  <si>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</si>
  <si>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</si>
  <si>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</si>
  <si>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</si>
  <si>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</si>
  <si>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</si>
  <si>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</si>
  <si>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</si>
  <si>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</si>
  <si>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</si>
  <si>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</si>
  <si>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</si>
  <si>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</si>
  <si>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</si>
  <si>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</si>
  <si>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</si>
  <si>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</si>
  <si>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</si>
  <si>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</si>
  <si>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</si>
  <si>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</si>
  <si>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</si>
  <si>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</si>
  <si>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</si>
  <si>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</si>
  <si>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</si>
  <si>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</si>
  <si>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</si>
  <si>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</si>
  <si>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</si>
  <si>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</si>
  <si>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</si>
  <si>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</si>
  <si>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</si>
  <si>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</si>
  <si>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</si>
  <si>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</si>
  <si>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</si>
  <si>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</si>
  <si>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</si>
  <si>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</si>
  <si>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</si>
  <si>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</si>
  <si>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</si>
  <si>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</si>
  <si>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</si>
  <si>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</si>
  <si>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</si>
  <si>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</si>
  <si>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</si>
  <si>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</si>
  <si>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</si>
  <si>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</si>
  <si>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</si>
  <si>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</si>
  <si>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</si>
  <si>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</si>
  <si>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</si>
  <si>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</si>
  <si>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</si>
  <si>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</si>
  <si>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</si>
  <si>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</si>
  <si>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</si>
  <si>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</si>
  <si>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</si>
  <si>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</si>
  <si>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</si>
  <si>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</si>
  <si>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</si>
  <si>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</si>
  <si>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</si>
  <si>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</si>
  <si>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</si>
  <si>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</si>
  <si>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</si>
  <si>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</si>
  <si>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</si>
  <si>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</si>
  <si>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</si>
  <si>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</si>
  <si>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</si>
  <si>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</si>
  <si>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</si>
  <si>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</si>
  <si>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</si>
  <si>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</si>
  <si>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</si>
  <si>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</si>
  <si>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</si>
  <si>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</si>
  <si>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</si>
  <si>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</si>
  <si>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</si>
  <si>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</si>
  <si>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</si>
  <si>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</si>
  <si>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</si>
  <si>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</si>
  <si>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</si>
  <si>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</si>
  <si>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</si>
  <si>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</si>
  <si>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</si>
  <si>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</si>
  <si>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</si>
  <si>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</si>
  <si>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</si>
  <si>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</si>
  <si>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</si>
  <si>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</si>
  <si>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</si>
  <si>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</si>
  <si>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</si>
  <si>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</si>
  <si>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</si>
  <si>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</si>
  <si>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</si>
  <si>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</si>
  <si>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</si>
  <si>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</si>
  <si>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</si>
  <si>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</si>
  <si>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</si>
  <si>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</si>
  <si>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</si>
  <si>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</si>
  <si>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</si>
  <si>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</si>
  <si>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</si>
  <si>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</si>
  <si>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</si>
  <si>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</si>
  <si>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</si>
  <si>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</si>
  <si>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</si>
  <si>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</si>
  <si>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</si>
  <si>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</si>
  <si>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</si>
  <si>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</si>
  <si>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</si>
  <si>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</si>
  <si>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</si>
  <si>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</si>
  <si>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</si>
  <si>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</si>
  <si>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</si>
  <si>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</si>
  <si>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</si>
  <si>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</si>
  <si>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</si>
  <si>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</si>
  <si>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</si>
  <si>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</si>
  <si>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</si>
  <si>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</si>
  <si>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</si>
  <si>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</si>
  <si>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</si>
  <si>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</si>
  <si>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</si>
  <si>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</si>
  <si>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</si>
  <si>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</si>
  <si>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</si>
  <si>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</si>
  <si>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</si>
  <si>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</si>
  <si>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</si>
  <si>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</si>
  <si>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</si>
  <si>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</si>
  <si>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</si>
  <si>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</si>
  <si>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</si>
  <si>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</si>
  <si>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</si>
  <si>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</si>
  <si>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</si>
  <si>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</si>
  <si>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</si>
  <si>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</si>
  <si>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</si>
  <si>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</si>
  <si>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</si>
  <si>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</si>
  <si>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</si>
  <si>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</si>
  <si>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</si>
  <si>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</si>
  <si>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</si>
  <si>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</si>
  <si>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</si>
  <si>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</si>
  <si>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</si>
  <si>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</si>
  <si>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</si>
  <si>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</si>
  <si>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</si>
  <si>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</si>
  <si>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</si>
  <si>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</si>
  <si>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</si>
  <si>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</si>
  <si>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</si>
  <si>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</si>
  <si>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</si>
  <si>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</si>
  <si>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</si>
  <si>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</si>
  <si>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</si>
  <si>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</si>
  <si>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</si>
  <si>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</si>
  <si>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</si>
  <si>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</si>
  <si>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</si>
  <si>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</si>
  <si>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</si>
  <si>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</si>
  <si>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</si>
  <si>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</si>
  <si>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</si>
  <si>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</si>
  <si>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</si>
  <si>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</si>
  <si>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</si>
  <si>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</si>
  <si>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</si>
  <si>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</si>
  <si>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</si>
  <si>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</si>
  <si>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</si>
  <si>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</si>
  <si>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</si>
  <si>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</si>
  <si>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</si>
  <si>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</si>
  <si>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</si>
  <si>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</si>
  <si>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</si>
  <si>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</si>
  <si>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</si>
  <si>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</si>
  <si>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</si>
  <si>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</si>
  <si>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</si>
  <si>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</si>
  <si>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</si>
  <si>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</si>
  <si>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</si>
  <si>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</si>
  <si>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</si>
  <si>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</si>
  <si>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</si>
  <si>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</si>
  <si>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</si>
  <si>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</si>
  <si>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</si>
  <si>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</si>
  <si>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</si>
  <si>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</si>
  <si>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</si>
  <si>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</si>
  <si>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</si>
  <si>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</si>
  <si>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</si>
  <si>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</si>
  <si>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</si>
  <si>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</si>
  <si>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</si>
  <si>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</si>
  <si>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</si>
  <si>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</si>
  <si>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</si>
  <si>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</si>
  <si>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</si>
  <si>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</si>
  <si>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</si>
  <si>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</si>
  <si>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</si>
  <si>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</si>
  <si>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</si>
  <si>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</si>
  <si>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</si>
  <si>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</si>
  <si>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</si>
  <si>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</si>
  <si>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</si>
  <si>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</si>
  <si>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</si>
  <si>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</si>
  <si>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</si>
  <si>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</si>
  <si>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</si>
  <si>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</si>
  <si>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</si>
  <si>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</si>
  <si>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</si>
  <si>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</si>
  <si>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</si>
  <si>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</si>
  <si>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</si>
  <si>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</si>
  <si>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</si>
  <si>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</si>
  <si>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</si>
  <si>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</si>
  <si>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</si>
  <si>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</si>
  <si>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</si>
  <si>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</si>
  <si>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</si>
  <si>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</si>
  <si>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</si>
  <si>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</si>
  <si>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</si>
  <si>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</si>
  <si>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</si>
  <si>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</si>
  <si>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</si>
  <si>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</si>
  <si>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</si>
  <si>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</si>
  <si>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</si>
  <si>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</si>
  <si>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</si>
  <si>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</si>
  <si>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</si>
  <si>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</si>
  <si>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</si>
  <si>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</si>
  <si>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</si>
  <si>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</si>
  <si>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</si>
  <si>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</si>
  <si>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</si>
  <si>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</si>
  <si>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</si>
  <si>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</si>
  <si>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</si>
  <si>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</si>
  <si>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</si>
  <si>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</si>
  <si>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</si>
  <si>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</si>
  <si>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</si>
  <si>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</si>
  <si>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</si>
  <si>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</si>
  <si>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</si>
  <si>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</si>
  <si>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</si>
  <si>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</si>
  <si>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</si>
  <si>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</si>
  <si>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</si>
  <si>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</si>
  <si>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</si>
  <si>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</si>
  <si>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</si>
  <si>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</si>
  <si>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</si>
  <si>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</si>
  <si>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</si>
  <si>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</si>
  <si>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</si>
  <si>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</si>
  <si>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</si>
  <si>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</si>
  <si>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</si>
  <si>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</si>
  <si>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</si>
  <si>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</si>
  <si>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</si>
  <si>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</si>
  <si>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</si>
  <si>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</si>
  <si>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</si>
  <si>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</si>
  <si>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</si>
  <si>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</si>
  <si>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</si>
  <si>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</si>
  <si>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</si>
  <si>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</si>
  <si>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</si>
  <si>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</si>
  <si>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</si>
  <si>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</si>
  <si>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</si>
  <si>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</si>
  <si>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</si>
  <si>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</si>
  <si>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</si>
  <si>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</si>
  <si>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</si>
  <si>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</si>
  <si>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</si>
  <si>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</si>
  <si>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</si>
  <si>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</si>
  <si>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</si>
  <si>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</si>
  <si>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</si>
  <si>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</si>
  <si>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</si>
  <si>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</si>
  <si>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</si>
  <si>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</si>
  <si>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</si>
  <si>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</si>
  <si>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</si>
  <si>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</si>
  <si>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</si>
  <si>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</si>
  <si>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</si>
  <si>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</si>
  <si>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</si>
  <si>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</si>
  <si>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</si>
  <si>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</si>
  <si>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</si>
  <si>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</si>
  <si>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</si>
  <si>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</si>
  <si>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</si>
  <si>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</si>
  <si>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</si>
  <si>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</si>
  <si>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</si>
  <si>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</si>
  <si>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</si>
  <si>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</si>
  <si>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</si>
  <si>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</si>
  <si>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</si>
  <si>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</si>
  <si>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</si>
  <si>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</si>
  <si>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</si>
  <si>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</si>
  <si>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</si>
  <si>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</si>
  <si>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</si>
  <si>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</si>
  <si>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</si>
  <si>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</si>
  <si>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</si>
  <si>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</si>
  <si>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</si>
  <si>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</si>
  <si>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</si>
  <si>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</si>
  <si>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</si>
  <si>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</si>
  <si>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</si>
  <si>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</si>
  <si>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</si>
  <si>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</si>
  <si>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</si>
  <si>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</si>
  <si>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</si>
  <si>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</si>
  <si>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</si>
  <si>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</si>
  <si>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</si>
  <si>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</si>
  <si>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</si>
  <si>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</si>
  <si>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</si>
  <si>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</si>
  <si>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</si>
  <si>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</si>
  <si>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</si>
  <si>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</si>
  <si>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</si>
  <si>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</si>
  <si>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</si>
  <si>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</si>
  <si>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</si>
  <si>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</si>
  <si>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</si>
  <si>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</si>
  <si>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</si>
  <si>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</si>
  <si>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</si>
  <si>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</si>
  <si>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</si>
  <si>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</si>
  <si>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</si>
  <si>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</si>
  <si>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</si>
  <si>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</si>
  <si>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</si>
  <si>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</si>
  <si>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</si>
  <si>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</si>
  <si>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</si>
  <si>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</si>
  <si>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</si>
  <si>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</si>
  <si>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</si>
  <si>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</si>
  <si>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</si>
  <si>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</si>
  <si>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</si>
  <si>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</si>
  <si>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</si>
  <si>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</si>
  <si>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</si>
  <si>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</si>
  <si>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</si>
  <si>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</si>
  <si>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</si>
  <si>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</si>
  <si>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</si>
  <si>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</si>
  <si>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</si>
  <si>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</si>
  <si>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</si>
  <si>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</si>
  <si>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</si>
  <si>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</si>
  <si>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</si>
  <si>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</si>
  <si>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</si>
  <si>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</si>
  <si>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</si>
  <si>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</si>
  <si>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</si>
  <si>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</si>
  <si>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</si>
  <si>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</si>
  <si>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</si>
  <si>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</si>
  <si>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</si>
  <si>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</si>
  <si>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</si>
  <si>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</si>
  <si>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</si>
  <si>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</si>
  <si>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</si>
  <si>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</si>
  <si>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</si>
  <si>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</si>
  <si>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</si>
  <si>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</si>
  <si>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</si>
  <si>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</si>
  <si>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</si>
  <si>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</si>
  <si>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</si>
  <si>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</si>
  <si>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</si>
  <si>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</si>
  <si>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</si>
  <si>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</si>
  <si>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</si>
  <si>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</si>
  <si>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</si>
  <si>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</si>
  <si>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</si>
  <si>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</si>
  <si>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</si>
  <si>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</si>
  <si>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</si>
  <si>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</si>
  <si>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</si>
  <si>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</si>
  <si>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</si>
  <si>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</si>
  <si>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</si>
  <si>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</si>
  <si>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</si>
  <si>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</si>
  <si>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</si>
  <si>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</si>
  <si>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</si>
  <si>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</si>
  <si>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</si>
  <si>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</si>
  <si>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</si>
  <si>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</si>
  <si>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</si>
  <si>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</si>
  <si>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</si>
  <si>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</si>
  <si>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</si>
  <si>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</si>
  <si>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</si>
  <si>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</si>
  <si>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</si>
  <si>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</si>
  <si>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</si>
  <si>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</si>
  <si>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</si>
  <si>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</si>
  <si>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</si>
  <si>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</si>
  <si>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</si>
  <si>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</si>
  <si>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</si>
  <si>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</si>
  <si>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</si>
  <si>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</si>
  <si>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</si>
  <si>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</si>
  <si>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</si>
  <si>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</si>
  <si>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</si>
  <si>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</si>
  <si>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</si>
  <si>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</si>
  <si>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</si>
  <si>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</si>
  <si>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</si>
  <si>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</si>
  <si>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</si>
  <si>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</si>
  <si>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</si>
  <si>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</si>
  <si>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</si>
  <si>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</si>
  <si>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</si>
  <si>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</si>
  <si>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</si>
  <si>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</si>
  <si>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</si>
  <si>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</si>
  <si>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</si>
  <si>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</si>
  <si>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</si>
  <si>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</si>
  <si>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</si>
  <si>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</si>
  <si>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</si>
  <si>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</si>
  <si>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</si>
  <si>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</si>
  <si>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</si>
  <si>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</si>
  <si>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</si>
  <si>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</si>
  <si>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</si>
  <si>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</si>
  <si>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</si>
  <si>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</si>
  <si>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</si>
  <si>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</si>
  <si>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</si>
  <si>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</si>
  <si>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</si>
  <si>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</si>
  <si>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</si>
  <si>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</si>
  <si>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</si>
  <si>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</si>
  <si>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</si>
  <si>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</si>
  <si>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</si>
  <si>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</si>
  <si>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</si>
  <si>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</si>
  <si>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</si>
  <si>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</si>
  <si>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</si>
  <si>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</si>
  <si>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</si>
  <si>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</si>
  <si>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</si>
  <si>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</si>
  <si>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</si>
  <si>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</si>
  <si>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</si>
  <si>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</si>
  <si>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</si>
  <si>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</si>
  <si>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</si>
  <si>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</si>
  <si>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</si>
  <si>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</si>
  <si>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</si>
  <si>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</si>
  <si>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</si>
  <si>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</si>
  <si>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</si>
  <si>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</si>
  <si>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</si>
  <si>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</si>
  <si>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</si>
  <si>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</si>
  <si>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</si>
  <si>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</si>
  <si>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</si>
  <si>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</si>
  <si>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</si>
  <si>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</si>
  <si>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</si>
  <si>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</si>
  <si>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</si>
  <si>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</si>
  <si>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</si>
  <si>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</si>
  <si>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</si>
  <si>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</si>
  <si>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</si>
  <si>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</si>
  <si>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</si>
  <si>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</si>
  <si>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</si>
  <si>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</si>
  <si>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</si>
  <si>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</si>
  <si>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</si>
  <si>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</si>
  <si>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</si>
  <si>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</si>
  <si>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</si>
  <si>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</si>
  <si>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</si>
  <si>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</si>
  <si>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</si>
  <si>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</si>
  <si>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</si>
  <si>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</si>
  <si>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</si>
  <si>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</si>
  <si>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</si>
  <si>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</si>
  <si>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</si>
  <si>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</si>
  <si>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</si>
  <si>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</si>
  <si>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</si>
  <si>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</si>
  <si>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</si>
  <si>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</si>
  <si>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</si>
  <si>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</si>
  <si>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</si>
  <si>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</si>
  <si>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</si>
  <si>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</si>
  <si>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</si>
  <si>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</si>
  <si>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</si>
  <si>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</si>
  <si>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</si>
  <si>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</si>
  <si>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</si>
  <si>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</si>
  <si>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</si>
  <si>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</si>
  <si>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</si>
  <si>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</si>
  <si>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</si>
  <si>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</si>
  <si>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</si>
  <si>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</si>
  <si>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</si>
  <si>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</si>
  <si>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</si>
  <si>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</si>
  <si>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</si>
  <si>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</si>
  <si>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</si>
  <si>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</si>
  <si>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</si>
  <si>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</si>
  <si>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</si>
  <si>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</si>
  <si>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</si>
  <si>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</si>
  <si>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</si>
  <si>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</si>
  <si>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</si>
  <si>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</si>
  <si>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</si>
  <si>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</si>
  <si>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</si>
  <si>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</si>
  <si>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</si>
  <si>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</si>
  <si>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</si>
  <si>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</si>
  <si>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</si>
  <si>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</si>
  <si>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</si>
  <si>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</si>
  <si>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</si>
  <si>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</si>
  <si>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</si>
  <si>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</si>
  <si>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</si>
  <si>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</si>
  <si>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</si>
  <si>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</si>
  <si>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</si>
  <si>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</si>
  <si>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</si>
  <si>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</si>
  <si>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</si>
  <si>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</si>
  <si>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</si>
  <si>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</si>
  <si>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</si>
  <si>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</si>
  <si>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</si>
  <si>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</si>
  <si>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</si>
  <si>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</si>
  <si>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</si>
  <si>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</si>
  <si>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</si>
  <si>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</si>
  <si>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</si>
  <si>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</si>
  <si>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</si>
  <si>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</si>
  <si>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</si>
  <si>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</si>
  <si>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</si>
  <si>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</si>
  <si>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</si>
  <si>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</si>
  <si>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</si>
  <si>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</si>
  <si>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</si>
  <si>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</si>
  <si>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</si>
  <si>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</si>
  <si>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</si>
  <si>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</si>
  <si>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</si>
  <si>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</si>
  <si>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</si>
  <si>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</si>
  <si>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</si>
  <si>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</si>
  <si>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</si>
  <si>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</si>
  <si>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</si>
  <si>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</si>
  <si>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</si>
  <si>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</si>
  <si>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</si>
  <si>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</si>
  <si>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</si>
  <si>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</si>
  <si>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</si>
  <si>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</si>
  <si>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</si>
  <si>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</si>
  <si>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</si>
  <si>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</si>
  <si>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</si>
  <si>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</si>
  <si>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</si>
  <si>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</si>
  <si>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</si>
  <si>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</si>
  <si>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</si>
  <si>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</si>
  <si>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</si>
  <si>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</si>
  <si>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</si>
  <si>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</si>
  <si>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</si>
  <si>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</si>
  <si>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</si>
  <si>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</si>
  <si>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</si>
  <si>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</si>
  <si>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</si>
  <si>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</si>
  <si>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</si>
  <si>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</si>
  <si>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</si>
  <si>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</si>
  <si>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</si>
  <si>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</si>
  <si>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</si>
  <si>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</si>
  <si>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</si>
  <si>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</si>
  <si>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</si>
  <si>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</si>
  <si>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</si>
  <si>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</si>
  <si>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</si>
  <si>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</si>
  <si>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</si>
  <si>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</si>
  <si>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</si>
  <si>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</si>
  <si>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</si>
  <si>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</si>
  <si>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</si>
  <si>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</si>
  <si>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</si>
  <si>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</si>
  <si>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</si>
  <si>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</si>
  <si>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</si>
  <si>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</si>
  <si>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</si>
  <si>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</si>
  <si>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</si>
  <si>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</si>
  <si>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</si>
  <si>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</si>
  <si>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</si>
  <si>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</si>
  <si>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</si>
  <si>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</si>
  <si>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</si>
  <si>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</si>
  <si>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</si>
  <si>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</si>
  <si>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</si>
  <si>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</si>
  <si>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</si>
  <si>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</si>
  <si>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</si>
  <si>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</si>
  <si>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</si>
  <si>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</si>
  <si>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</si>
  <si>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</si>
  <si>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</si>
  <si>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</si>
  <si>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</si>
  <si>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</si>
  <si>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</si>
  <si>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</si>
  <si>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</si>
  <si>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</si>
  <si>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</si>
  <si>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</si>
  <si>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</si>
  <si>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</si>
  <si>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</si>
  <si>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</si>
  <si>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</si>
  <si>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</si>
  <si>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</si>
  <si>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</si>
  <si>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</si>
  <si>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</si>
  <si>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</si>
  <si>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</si>
  <si>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</si>
  <si>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</si>
  <si>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</si>
  <si>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</si>
  <si>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</si>
  <si>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</si>
  <si>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</si>
  <si>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</si>
  <si>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</si>
  <si>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</si>
  <si>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</si>
  <si>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</si>
  <si>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</si>
  <si>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</si>
  <si>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</si>
  <si>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</si>
  <si>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</si>
  <si>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</si>
  <si>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</si>
  <si>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</si>
  <si>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</si>
  <si>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</si>
  <si>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</si>
  <si>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</si>
  <si>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</si>
  <si>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</si>
  <si>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</si>
  <si>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</si>
  <si>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</si>
  <si>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</si>
  <si>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</si>
  <si>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</si>
  <si>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</si>
  <si>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</si>
  <si>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</si>
  <si>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</si>
  <si>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</si>
  <si>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</si>
  <si>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</si>
  <si>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</si>
  <si>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</si>
  <si>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</si>
  <si>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</si>
  <si>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</si>
  <si>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</si>
  <si>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</si>
  <si>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</si>
  <si>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</si>
  <si>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</si>
  <si>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</si>
  <si>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</si>
  <si>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</si>
  <si>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</si>
  <si>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</si>
  <si>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</si>
  <si>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</si>
  <si>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</si>
  <si>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</si>
  <si>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</si>
  <si>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</si>
  <si>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</si>
  <si>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</si>
  <si>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</si>
  <si>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</si>
  <si>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</si>
  <si>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</si>
  <si>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</si>
  <si>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</si>
  <si>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</si>
  <si>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</si>
  <si>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</si>
  <si>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</si>
  <si>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</si>
  <si>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</si>
  <si>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</si>
  <si>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</si>
  <si>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</si>
  <si>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</si>
  <si>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</si>
  <si>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</si>
  <si>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</si>
  <si>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</si>
  <si>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</si>
  <si>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</si>
  <si>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</si>
  <si>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</si>
  <si>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</si>
  <si>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</si>
  <si>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</si>
  <si>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</si>
  <si>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</si>
  <si>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</si>
  <si>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</si>
  <si>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</si>
  <si>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</si>
  <si>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</si>
  <si>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</si>
  <si>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</si>
  <si>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</si>
  <si>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</si>
  <si>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</si>
  <si>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</si>
  <si>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</si>
  <si>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</si>
  <si>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</si>
  <si>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</si>
  <si>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</si>
  <si>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</si>
  <si>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</si>
  <si>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</si>
  <si>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</si>
  <si>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</si>
  <si>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</si>
  <si>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</si>
  <si>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</si>
  <si>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</si>
  <si>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</si>
  <si>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</si>
  <si>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</si>
  <si>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</si>
  <si>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</si>
  <si>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</si>
  <si>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</si>
  <si>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</si>
  <si>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</si>
  <si>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</si>
  <si>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</si>
  <si>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</si>
  <si>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</si>
  <si>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</si>
  <si>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</si>
  <si>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</si>
  <si>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</si>
  <si>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</si>
  <si>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</si>
  <si>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</si>
  <si>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</si>
  <si>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</si>
  <si>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</si>
  <si>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</si>
  <si>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</si>
  <si>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</si>
  <si>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</si>
  <si>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</si>
  <si>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</si>
  <si>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</si>
  <si>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</si>
  <si>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</si>
  <si>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</si>
  <si>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</si>
  <si>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</si>
  <si>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</si>
  <si>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</si>
  <si>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</si>
  <si>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</si>
  <si>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</si>
  <si>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</si>
  <si>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</si>
  <si>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</si>
  <si>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</si>
  <si>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</si>
  <si>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</si>
  <si>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</si>
  <si>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</si>
  <si>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</si>
  <si>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</si>
  <si>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</si>
  <si>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</si>
  <si>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</si>
  <si>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</si>
  <si>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</si>
  <si>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</si>
  <si>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</si>
  <si>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</si>
  <si>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</si>
  <si>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</si>
  <si>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</si>
  <si>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</si>
  <si>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</si>
  <si>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</si>
  <si>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</si>
  <si>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</si>
  <si>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</si>
  <si>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</si>
  <si>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</si>
  <si>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</si>
  <si>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</si>
  <si>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</si>
  <si>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</si>
  <si>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</si>
  <si>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</si>
  <si>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</si>
  <si>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</si>
  <si>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</si>
  <si>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</si>
  <si>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</si>
  <si>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</si>
  <si>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</si>
  <si>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</si>
  <si>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</si>
  <si>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</si>
  <si>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</si>
  <si>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</si>
  <si>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</si>
  <si>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</si>
  <si>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</si>
  <si>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</si>
  <si>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</si>
  <si>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</si>
  <si>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</si>
  <si>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</si>
  <si>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</si>
  <si>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</si>
  <si>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</si>
  <si>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</si>
  <si>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</si>
  <si>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</si>
  <si>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</si>
  <si>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</si>
  <si>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</si>
  <si>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</si>
  <si>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</si>
  <si>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</si>
  <si>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</si>
  <si>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</si>
  <si>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</si>
  <si>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</si>
  <si>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</si>
  <si>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</si>
  <si>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</si>
  <si>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</si>
  <si>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</si>
  <si>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</si>
  <si>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</si>
  <si>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</si>
  <si>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</si>
  <si>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</si>
  <si>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</si>
  <si>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</si>
  <si>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</si>
  <si>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</si>
  <si>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</si>
  <si>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</si>
  <si>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</si>
  <si>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</si>
  <si>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</si>
  <si>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</si>
  <si>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</si>
  <si>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</si>
  <si>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</si>
  <si>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</si>
  <si>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</si>
  <si>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</si>
  <si>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</si>
  <si>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</si>
  <si>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</si>
  <si>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</si>
  <si>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</si>
  <si>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</si>
  <si>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</si>
  <si>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</si>
  <si>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</si>
  <si>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</si>
  <si>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</si>
  <si>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</si>
  <si>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</si>
  <si>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</si>
  <si>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</si>
  <si>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</si>
  <si>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</si>
  <si>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</si>
  <si>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</si>
  <si>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</si>
  <si>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</si>
  <si>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</si>
  <si>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</si>
  <si>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</si>
  <si>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</si>
  <si>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</si>
  <si>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</si>
  <si>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</si>
  <si>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</si>
  <si>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</si>
  <si>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</si>
  <si>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</si>
  <si>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</si>
  <si>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</si>
  <si>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</si>
  <si>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</si>
  <si>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</si>
  <si>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</si>
  <si>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</si>
  <si>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</si>
  <si>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</si>
  <si>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</si>
  <si>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</si>
  <si>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</si>
  <si>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</si>
  <si>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</si>
  <si>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</si>
  <si>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</si>
  <si>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</si>
  <si>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</si>
  <si>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</si>
  <si>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</si>
  <si>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</si>
  <si>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</si>
  <si>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</si>
  <si>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</si>
  <si>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</si>
  <si>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</si>
  <si>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</si>
  <si>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</si>
  <si>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</si>
  <si>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</si>
  <si>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</si>
  <si>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</si>
  <si>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</si>
  <si>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</si>
  <si>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</si>
  <si>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</si>
  <si>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</si>
  <si>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</si>
  <si>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</si>
  <si>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</si>
  <si>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</si>
  <si>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</si>
  <si>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</si>
  <si>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</si>
  <si>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</si>
  <si>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</si>
  <si>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</si>
  <si>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</si>
  <si>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</si>
  <si>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</si>
  <si>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</si>
  <si>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</si>
  <si>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</si>
  <si>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</si>
  <si>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</si>
  <si>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</si>
  <si>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</si>
  <si>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</si>
  <si>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</si>
  <si>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</si>
  <si>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</si>
  <si>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</si>
  <si>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</si>
  <si>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</si>
  <si>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</si>
  <si>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</si>
  <si>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</si>
  <si>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</si>
  <si>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</si>
  <si>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</si>
  <si>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</si>
  <si>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</si>
  <si>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</si>
  <si>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</si>
  <si>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</si>
  <si>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</si>
  <si>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</si>
  <si>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</si>
  <si>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</si>
  <si>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</si>
  <si>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</si>
  <si>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</si>
  <si>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</si>
  <si>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</si>
  <si>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</si>
  <si>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</si>
  <si>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</si>
  <si>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</si>
  <si>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</si>
  <si>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</si>
  <si>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</si>
  <si>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</si>
  <si>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</si>
  <si>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</si>
  <si>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</si>
  <si>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</si>
  <si>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</si>
  <si>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</si>
  <si>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</si>
  <si>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</si>
  <si>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</si>
  <si>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</si>
  <si>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</si>
  <si>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</si>
  <si>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</si>
  <si>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</si>
  <si>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</si>
  <si>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</si>
  <si>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</si>
  <si>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</si>
  <si>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</si>
  <si>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</si>
  <si>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</si>
  <si>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</si>
  <si>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</si>
  <si>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</si>
  <si>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</si>
  <si>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</si>
  <si>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</si>
  <si>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</si>
  <si>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</si>
  <si>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</si>
  <si>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</si>
  <si>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</si>
  <si>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</si>
  <si>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</si>
  <si>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</si>
  <si>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</si>
  <si>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</si>
  <si>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</si>
  <si>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</si>
  <si>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</si>
  <si>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</si>
  <si>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</si>
  <si>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</si>
  <si>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</si>
  <si>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</si>
  <si>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</si>
  <si>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</si>
  <si>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</si>
  <si>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</si>
  <si>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</si>
  <si>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</si>
  <si>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</si>
  <si>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</si>
  <si>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</si>
  <si>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</si>
  <si>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</si>
  <si>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</si>
  <si>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</si>
  <si>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</si>
  <si>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</si>
  <si>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</si>
  <si>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</si>
  <si>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</si>
  <si>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</si>
  <si>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</si>
  <si>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</si>
  <si>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</si>
  <si>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</si>
  <si>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</si>
  <si>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</si>
  <si>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</si>
  <si>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</si>
  <si>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</si>
  <si>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</si>
  <si>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</si>
  <si>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</si>
  <si>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</si>
  <si>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</si>
  <si>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</si>
  <si>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</si>
  <si>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</si>
  <si>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</si>
  <si>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</si>
  <si>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</si>
  <si>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</si>
  <si>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</si>
  <si>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</si>
  <si>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</si>
  <si>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</si>
  <si>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</si>
  <si>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</si>
  <si>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</si>
  <si>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</si>
  <si>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</si>
  <si>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</si>
  <si>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</si>
  <si>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</si>
  <si>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</si>
  <si>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</si>
  <si>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</si>
  <si>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</si>
  <si>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</si>
  <si>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</si>
  <si>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</si>
  <si>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</si>
  <si>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</si>
  <si>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</si>
  <si>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</si>
  <si>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</si>
  <si>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</si>
  <si>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</si>
  <si>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</si>
  <si>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</si>
  <si>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</si>
  <si>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</si>
  <si>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</si>
  <si>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</si>
  <si>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</si>
  <si>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</si>
  <si>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</si>
  <si>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</si>
  <si>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</si>
  <si>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</si>
  <si>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</si>
  <si>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</si>
  <si>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</si>
  <si>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</si>
  <si>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</si>
  <si>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</si>
  <si>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</si>
  <si>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</si>
  <si>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</si>
  <si>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</si>
  <si>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</si>
  <si>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</si>
  <si>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</si>
  <si>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</si>
  <si>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</si>
  <si>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</si>
  <si>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</si>
  <si>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</si>
  <si>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</si>
  <si>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</si>
  <si>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</si>
  <si>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</si>
  <si>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</si>
  <si>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</si>
  <si>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</si>
  <si>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</si>
  <si>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</si>
  <si>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</si>
  <si>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</si>
  <si>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</si>
  <si>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</si>
  <si>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</si>
  <si>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</si>
  <si>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</si>
  <si>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</si>
  <si>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</si>
  <si>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</si>
  <si>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</si>
  <si>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</si>
  <si>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</si>
  <si>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</si>
  <si>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</si>
  <si>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</si>
  <si>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</si>
  <si>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</si>
  <si>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</si>
  <si>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</si>
  <si>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</si>
  <si>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</si>
  <si>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</si>
  <si>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</si>
  <si>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</si>
  <si>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</si>
  <si>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</si>
  <si>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</si>
  <si>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</si>
  <si>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</si>
  <si>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</si>
  <si>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</si>
  <si>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</si>
  <si>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</si>
  <si>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</si>
  <si>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</si>
  <si>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</si>
  <si>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</si>
  <si>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</si>
  <si>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</si>
  <si>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</si>
  <si>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</si>
  <si>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</si>
  <si>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</si>
  <si>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</si>
  <si>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</si>
  <si>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</si>
  <si>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</si>
  <si>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</si>
  <si>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</si>
  <si>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</si>
  <si>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</si>
  <si>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</si>
  <si>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</si>
  <si>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</si>
  <si>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</si>
  <si>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</si>
  <si>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</si>
  <si>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</si>
  <si>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</si>
  <si>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</si>
  <si>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</si>
  <si>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</si>
  <si>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</si>
  <si>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</si>
  <si>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</si>
  <si>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</si>
  <si>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</si>
  <si>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</si>
  <si>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</si>
  <si>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</si>
  <si>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</si>
  <si>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</si>
  <si>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</si>
  <si>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</si>
  <si>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</si>
  <si>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</si>
  <si>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</si>
  <si>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</si>
  <si>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</si>
  <si>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</si>
  <si>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</si>
  <si>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</si>
  <si>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</si>
  <si>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</si>
  <si>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</si>
  <si>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</si>
  <si>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</si>
  <si>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</si>
  <si>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</si>
  <si>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</si>
  <si>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</si>
  <si>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</si>
  <si>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</si>
  <si>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</si>
  <si>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</si>
  <si>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</si>
  <si>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</si>
  <si>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</si>
  <si>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</si>
  <si>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</si>
  <si>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</si>
  <si>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</si>
  <si>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</si>
  <si>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</si>
  <si>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</si>
  <si>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</si>
  <si>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</si>
  <si>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</si>
  <si>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</si>
  <si>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</si>
  <si>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</si>
  <si>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</si>
  <si>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</si>
  <si>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</si>
  <si>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</si>
  <si>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</si>
  <si>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</si>
  <si>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</si>
  <si>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</si>
  <si>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</si>
  <si>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</si>
  <si>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</si>
  <si>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</si>
  <si>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</si>
  <si>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</si>
  <si>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</si>
  <si>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</si>
  <si>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</si>
  <si>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</si>
  <si>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</si>
  <si>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</si>
  <si>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</si>
  <si>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</si>
  <si>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</si>
  <si>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</si>
  <si>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</si>
  <si>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</si>
  <si>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</si>
  <si>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</si>
  <si>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</si>
  <si>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</si>
  <si>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</si>
  <si>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</si>
  <si>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</si>
  <si>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</si>
  <si>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</si>
  <si>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</si>
  <si>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</si>
  <si>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</si>
  <si>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</si>
  <si>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</si>
  <si>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</si>
  <si>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</si>
  <si>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</si>
  <si>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</si>
  <si>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</si>
  <si>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</si>
  <si>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</si>
  <si>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</si>
  <si>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</si>
  <si>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</si>
  <si>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</si>
  <si>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</si>
  <si>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</si>
  <si>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</si>
  <si>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</si>
  <si>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</si>
  <si>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</si>
  <si>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</si>
  <si>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</si>
  <si>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</si>
  <si>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</si>
  <si>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</si>
  <si>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</si>
  <si>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</si>
  <si>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</si>
  <si>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</si>
  <si>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</si>
  <si>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</si>
  <si>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</si>
  <si>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</si>
  <si>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</si>
  <si>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</si>
  <si>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</si>
  <si>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</si>
  <si>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</si>
  <si>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</si>
  <si>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</si>
  <si>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</si>
  <si>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</si>
  <si>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</si>
  <si>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</si>
  <si>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</si>
  <si>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</si>
  <si>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</si>
  <si>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</si>
  <si>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</si>
  <si>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</si>
  <si>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</si>
  <si>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</si>
  <si>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</si>
  <si>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</si>
  <si>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</si>
  <si>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</si>
  <si>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</si>
  <si>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</si>
  <si>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</si>
  <si>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</si>
  <si>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</si>
  <si>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</si>
  <si>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</si>
  <si>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</si>
  <si>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</si>
  <si>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</si>
  <si>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</si>
  <si>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</si>
  <si>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</si>
  <si>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</si>
  <si>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</si>
  <si>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</si>
  <si>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</si>
  <si>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</si>
  <si>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</si>
  <si>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</si>
  <si>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</si>
  <si>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</si>
  <si>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</si>
  <si>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</si>
  <si>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</si>
  <si>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</si>
  <si>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</si>
  <si>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</si>
  <si>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</si>
  <si>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</si>
  <si>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</si>
  <si>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</si>
  <si>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</si>
  <si>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</si>
  <si>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</si>
  <si>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</si>
  <si>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</si>
  <si>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</si>
  <si>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</si>
  <si>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</si>
  <si>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</si>
  <si>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</si>
  <si>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</si>
  <si>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</si>
  <si>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</si>
  <si>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</si>
  <si>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</si>
  <si>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</si>
  <si>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</si>
  <si>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</si>
  <si>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</si>
  <si>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</si>
  <si>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</si>
  <si>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</si>
  <si>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</si>
  <si>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</si>
  <si>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</si>
  <si>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</si>
  <si>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</si>
  <si>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</si>
  <si>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</si>
  <si>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</si>
  <si>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</si>
  <si>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</si>
  <si>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</si>
  <si>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</si>
  <si>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</si>
  <si>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</si>
  <si>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</si>
  <si>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</si>
  <si>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</si>
  <si>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</si>
  <si>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</si>
  <si>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</si>
  <si>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</si>
  <si>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</si>
  <si>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</si>
  <si>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</si>
  <si>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</si>
  <si>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</si>
  <si>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</si>
  <si>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</si>
  <si>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</si>
  <si>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</si>
  <si>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</si>
  <si>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</si>
  <si>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</si>
  <si>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</si>
  <si>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</si>
  <si>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</si>
  <si>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</si>
  <si>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</si>
  <si>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</si>
  <si>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</si>
  <si>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</si>
  <si>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</si>
  <si>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</si>
  <si>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</si>
  <si>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</si>
  <si>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</si>
  <si>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</si>
  <si>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</si>
  <si>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</si>
  <si>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</si>
  <si>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</si>
  <si>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</si>
  <si>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</si>
  <si>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</si>
  <si>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</si>
  <si>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</si>
  <si>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</si>
  <si>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</si>
  <si>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</si>
  <si>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</si>
  <si>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</si>
  <si>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</si>
  <si>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</si>
  <si>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</si>
  <si>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</si>
  <si>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</si>
  <si>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</si>
  <si>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</si>
  <si>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</si>
  <si>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</si>
  <si>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</si>
  <si>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</si>
  <si>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</si>
  <si>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</si>
  <si>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</si>
  <si>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</si>
  <si>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</si>
  <si>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</si>
  <si>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</si>
  <si>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</si>
  <si>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</si>
  <si>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</si>
  <si>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</si>
  <si>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</si>
  <si>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</si>
  <si>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</si>
  <si>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</si>
  <si>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</si>
  <si>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</si>
  <si>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</si>
  <si>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</si>
  <si>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</si>
  <si>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</si>
  <si>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</si>
  <si>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</si>
  <si>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</si>
  <si>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</si>
  <si>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</si>
  <si>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</si>
  <si>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</si>
  <si>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</si>
  <si>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</si>
  <si>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</si>
  <si>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</si>
  <si>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</si>
  <si>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</si>
  <si>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</si>
  <si>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</si>
  <si>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</si>
  <si>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</si>
  <si>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</si>
  <si>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</si>
  <si>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</si>
  <si>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</si>
  <si>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</si>
  <si>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</si>
  <si>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</si>
  <si>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</si>
  <si>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</si>
  <si>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</si>
  <si>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</si>
  <si>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</si>
  <si>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</si>
  <si>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</si>
  <si>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</si>
  <si>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</si>
  <si>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</si>
  <si>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</si>
  <si>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</si>
  <si>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</si>
  <si>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</si>
  <si>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</si>
  <si>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</si>
  <si>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</si>
  <si>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</si>
  <si>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</si>
  <si>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</si>
  <si>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</si>
  <si>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</si>
  <si>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</si>
  <si>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</si>
  <si>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</si>
  <si>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</si>
  <si>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</si>
  <si>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</si>
  <si>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</si>
  <si>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</si>
  <si>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</si>
  <si>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</si>
  <si>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</si>
  <si>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</si>
  <si>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</si>
  <si>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</si>
  <si>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</si>
  <si>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</si>
  <si>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</si>
  <si>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</si>
  <si>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</si>
  <si>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</si>
  <si>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</si>
  <si>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</si>
  <si>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</si>
  <si>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</si>
  <si>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</si>
  <si>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</si>
  <si>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</si>
  <si>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</si>
  <si>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</si>
  <si>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</si>
  <si>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</si>
  <si>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</si>
  <si>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</si>
  <si>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</si>
  <si>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</si>
  <si>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</si>
  <si>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</si>
  <si>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</si>
  <si>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</si>
  <si>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</si>
  <si>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</si>
  <si>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</si>
  <si>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</si>
  <si>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</si>
  <si>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</si>
  <si>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</si>
  <si>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</si>
  <si>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</si>
  <si>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</si>
  <si>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</si>
  <si>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</si>
  <si>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</si>
  <si>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</si>
  <si>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</si>
  <si>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</si>
  <si>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</si>
  <si>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</si>
  <si>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</si>
  <si>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</si>
  <si>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</si>
  <si>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</si>
  <si>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</si>
  <si>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</si>
  <si>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</si>
  <si>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</si>
  <si>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</si>
  <si>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</si>
  <si>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</si>
  <si>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</si>
  <si>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</si>
  <si>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</si>
  <si>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</si>
  <si>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</si>
  <si>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</si>
  <si>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</si>
  <si>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</si>
  <si>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</si>
  <si>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</si>
  <si>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</si>
  <si>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</si>
  <si>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</si>
  <si>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</si>
  <si>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</si>
  <si>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</si>
  <si>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</si>
  <si>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</si>
  <si>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</si>
  <si>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</si>
  <si>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</si>
  <si>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</si>
  <si>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</si>
  <si>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</si>
  <si>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</si>
  <si>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</si>
  <si>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</si>
  <si>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</si>
  <si>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</si>
  <si>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</si>
  <si>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</si>
  <si>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</si>
  <si>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</si>
  <si>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</si>
  <si>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</si>
  <si>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</si>
  <si>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</si>
  <si>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</si>
  <si>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</si>
  <si>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</si>
  <si>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</si>
  <si>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</si>
  <si>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</si>
  <si>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</si>
  <si>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</si>
  <si>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</si>
  <si>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</si>
  <si>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</si>
  <si>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</si>
  <si>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</si>
  <si>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</si>
  <si>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</si>
  <si>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</si>
  <si>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</si>
  <si>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</si>
  <si>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</si>
  <si>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</si>
  <si>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</si>
  <si>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</si>
  <si>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</si>
  <si>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</si>
  <si>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</si>
  <si>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</si>
  <si>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</si>
  <si>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</si>
  <si>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</si>
  <si>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</si>
  <si>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</si>
  <si>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</si>
  <si>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</si>
  <si>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</si>
  <si>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</si>
  <si>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</si>
  <si>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</si>
  <si>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</si>
  <si>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</si>
  <si>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</si>
  <si>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</si>
  <si>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</si>
  <si>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</si>
  <si>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</si>
  <si>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</si>
  <si>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</si>
  <si>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</si>
  <si>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</si>
  <si>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</si>
  <si>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</si>
  <si>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</si>
  <si>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</si>
  <si>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</si>
  <si>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</si>
  <si>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</si>
  <si>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</si>
  <si>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</si>
  <si>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</si>
  <si>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</si>
  <si>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</si>
  <si>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</si>
  <si>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</si>
  <si>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</si>
  <si>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</si>
  <si>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</si>
  <si>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</si>
  <si>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</si>
  <si>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</si>
  <si>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</si>
  <si>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</si>
  <si>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</si>
  <si>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</si>
  <si>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</si>
  <si>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</si>
  <si>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</si>
  <si>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</si>
  <si>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</si>
  <si>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</si>
  <si>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</si>
  <si>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</si>
  <si>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</si>
  <si>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</si>
  <si>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</si>
  <si>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</si>
  <si>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</si>
  <si>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</si>
  <si>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</si>
  <si>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</si>
  <si>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</si>
  <si>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</si>
  <si>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</si>
  <si>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</si>
  <si>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</si>
  <si>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</si>
  <si>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</si>
  <si>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</si>
  <si>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</si>
  <si>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</si>
  <si>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</si>
  <si>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</si>
  <si>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</si>
  <si>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</si>
  <si>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</si>
  <si>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</si>
  <si>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</si>
  <si>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</si>
  <si>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</si>
  <si>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</si>
  <si>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</si>
  <si>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</si>
  <si>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</si>
  <si>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</si>
  <si>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</si>
  <si>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</si>
  <si>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</si>
  <si>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</si>
  <si>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</si>
  <si>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</si>
  <si>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</si>
  <si>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</si>
  <si>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</si>
  <si>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</si>
  <si>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</si>
  <si>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</si>
  <si>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</si>
  <si>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</si>
  <si>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</si>
  <si>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</si>
  <si>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</si>
  <si>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</si>
  <si>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</si>
  <si>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</si>
  <si>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</si>
  <si>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</si>
  <si>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</si>
  <si>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</si>
  <si>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</si>
  <si>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</si>
  <si>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</si>
  <si>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</si>
  <si>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</si>
  <si>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</si>
  <si>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</si>
  <si>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</si>
  <si>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</si>
  <si>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</si>
  <si>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</si>
  <si>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</si>
  <si>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</si>
  <si>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</si>
  <si>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</si>
  <si>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</si>
  <si>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</si>
  <si>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</si>
  <si>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</si>
  <si>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</si>
  <si>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</si>
  <si>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</si>
  <si>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</si>
  <si>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</si>
  <si>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</si>
  <si>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</si>
  <si>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</si>
  <si>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</si>
  <si>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</si>
  <si>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</si>
  <si>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</si>
  <si>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</si>
  <si>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</si>
  <si>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</si>
  <si>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</si>
  <si>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</si>
  <si>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</si>
  <si>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</si>
  <si>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</si>
  <si>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</si>
  <si>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</si>
  <si>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</si>
  <si>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</si>
  <si>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</si>
  <si>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</si>
  <si>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</si>
  <si>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</si>
  <si>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</si>
  <si>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</si>
  <si>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</si>
  <si>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</si>
  <si>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</si>
  <si>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</si>
  <si>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</si>
  <si>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</si>
  <si>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</si>
  <si>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</si>
  <si>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</si>
  <si>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</si>
  <si>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</si>
  <si>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</si>
  <si>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</si>
  <si>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</si>
  <si>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</si>
  <si>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</si>
  <si>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</si>
  <si>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</si>
  <si>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</si>
  <si>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</si>
  <si>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</si>
  <si>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</si>
  <si>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</si>
  <si>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</si>
  <si>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</si>
  <si>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</si>
  <si>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</si>
  <si>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</si>
  <si>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</si>
  <si>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</si>
  <si>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</si>
  <si>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</si>
  <si>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</si>
  <si>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</si>
  <si>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</si>
  <si>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</si>
  <si>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</si>
  <si>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</si>
  <si>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</si>
  <si>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</si>
  <si>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</si>
  <si>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</si>
  <si>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</si>
  <si>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</si>
  <si>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</si>
  <si>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</si>
  <si>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</si>
  <si>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</si>
  <si>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</si>
  <si>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</si>
  <si>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</si>
  <si>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</si>
  <si>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</si>
  <si>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</si>
  <si>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</si>
  <si>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</si>
  <si>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</si>
  <si>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</si>
  <si>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</si>
  <si>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</si>
  <si>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</si>
  <si>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</si>
  <si>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</si>
  <si>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</si>
  <si>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</si>
  <si>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</si>
  <si>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</si>
  <si>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</si>
  <si>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</si>
  <si>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</si>
  <si>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</si>
  <si>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</si>
  <si>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</si>
  <si>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</si>
  <si>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</si>
  <si>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</si>
  <si>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</si>
  <si>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</si>
  <si>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</si>
  <si>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</si>
  <si>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</si>
  <si>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</si>
  <si>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</si>
  <si>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</si>
  <si>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</si>
  <si>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</si>
  <si>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</si>
  <si>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</si>
  <si>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</si>
  <si>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</si>
  <si>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</si>
  <si>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</si>
  <si>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</si>
  <si>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</si>
  <si>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</si>
  <si>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</si>
  <si>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</si>
  <si>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</si>
  <si>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</si>
  <si>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</si>
  <si>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</si>
  <si>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</si>
  <si>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</si>
  <si>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</si>
  <si>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</si>
  <si>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</si>
  <si>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</si>
  <si>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</si>
  <si>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</si>
  <si>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</si>
  <si>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</si>
  <si>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</si>
  <si>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</si>
  <si>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</si>
  <si>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</si>
  <si>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</si>
  <si>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</si>
  <si>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</si>
  <si>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</si>
  <si>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</si>
  <si>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</si>
  <si>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</si>
  <si>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</si>
  <si>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</si>
  <si>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</si>
  <si>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</si>
  <si>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</si>
  <si>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</si>
  <si>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</si>
  <si>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</si>
  <si>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</si>
  <si>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</si>
  <si>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</si>
  <si>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</si>
  <si>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</si>
  <si>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</si>
  <si>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</si>
  <si>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</si>
  <si>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</si>
  <si>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</si>
  <si>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</si>
  <si>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</si>
  <si>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</si>
  <si>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</si>
  <si>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</si>
  <si>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</si>
  <si>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</si>
  <si>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</si>
  <si>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</si>
  <si>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</si>
  <si>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</si>
  <si>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</si>
  <si>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</si>
  <si>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</si>
  <si>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</si>
  <si>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</si>
  <si>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</si>
  <si>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</si>
  <si>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</si>
  <si>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</si>
  <si>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</si>
  <si>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</si>
  <si>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</si>
  <si>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</si>
  <si>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</si>
  <si>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</si>
  <si>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</si>
  <si>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</si>
  <si>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</si>
  <si>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</si>
  <si>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</si>
  <si>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</si>
  <si>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</si>
  <si>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</si>
  <si>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</si>
  <si>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</si>
  <si>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</si>
  <si>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</si>
  <si>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</si>
  <si>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</si>
  <si>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</si>
  <si>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</si>
  <si>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</si>
  <si>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</si>
  <si>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</si>
  <si>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</si>
  <si>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</si>
  <si>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</si>
  <si>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</si>
  <si>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</si>
  <si>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</si>
  <si>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</si>
  <si>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</si>
  <si>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</si>
  <si>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</si>
  <si>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</si>
  <si>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</si>
  <si>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</si>
  <si>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</si>
  <si>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</si>
  <si>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</si>
  <si>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</si>
  <si>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</si>
  <si>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</si>
  <si>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</si>
  <si>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</si>
  <si>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</si>
  <si>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</si>
  <si>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</si>
  <si>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</si>
  <si>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</si>
  <si>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</si>
  <si>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</si>
  <si>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</si>
  <si>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</si>
  <si>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</si>
  <si>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</si>
  <si>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</si>
  <si>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</si>
  <si>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</si>
  <si>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</si>
  <si>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</si>
  <si>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</si>
  <si>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</si>
  <si>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</si>
  <si>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</si>
  <si>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</si>
  <si>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</si>
  <si>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</si>
  <si>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</si>
  <si>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</si>
  <si>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</si>
  <si>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</si>
  <si>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</si>
  <si>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</si>
  <si>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</si>
  <si>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</si>
  <si>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</si>
  <si>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</si>
  <si>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</si>
  <si>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</si>
  <si>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</si>
  <si>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</si>
  <si>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</si>
  <si>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</si>
  <si>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</si>
  <si>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</si>
  <si>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</si>
  <si>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</si>
  <si>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</si>
  <si>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</si>
  <si>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</si>
  <si>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</si>
  <si>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</si>
  <si>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</si>
  <si>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</si>
  <si>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</si>
  <si>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</si>
  <si>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</si>
  <si>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</si>
  <si>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</si>
  <si>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</si>
  <si>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</si>
  <si>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</si>
  <si>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</si>
  <si>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</si>
  <si>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</si>
  <si>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</si>
  <si>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</si>
  <si>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</si>
  <si>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</si>
  <si>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</si>
  <si>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</si>
  <si>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</si>
  <si>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</si>
  <si>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</si>
  <si>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</si>
  <si>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</si>
  <si>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</si>
  <si>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</si>
  <si>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</si>
  <si>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</si>
  <si>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</si>
  <si>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</si>
  <si>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</si>
  <si>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</si>
  <si>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</si>
  <si>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</si>
  <si>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</si>
  <si>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</si>
  <si>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</si>
  <si>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</si>
  <si>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</si>
  <si>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</si>
  <si>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</si>
  <si>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</si>
  <si>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</si>
  <si>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</si>
  <si>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</si>
  <si>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</si>
  <si>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</si>
  <si>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</si>
  <si>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</si>
  <si>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</si>
  <si>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</si>
  <si>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</si>
  <si>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</si>
  <si>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</si>
  <si>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</si>
  <si>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</si>
  <si>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</si>
  <si>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</si>
  <si>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</si>
  <si>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</si>
  <si>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</si>
  <si>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</si>
  <si>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</si>
  <si>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</si>
  <si>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</si>
  <si>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</si>
  <si>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</si>
  <si>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</si>
  <si>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</si>
  <si>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</si>
  <si>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</si>
  <si>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</si>
  <si>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</si>
  <si>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</si>
  <si>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</si>
  <si>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</si>
  <si>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</si>
  <si>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</si>
  <si>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</si>
  <si>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</si>
  <si>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</si>
  <si>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</si>
  <si>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</si>
  <si>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</si>
  <si>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</si>
  <si>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</si>
  <si>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</si>
  <si>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</si>
  <si>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</si>
  <si>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</si>
  <si>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</si>
  <si>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</si>
  <si>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</si>
  <si>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</si>
  <si>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</si>
  <si>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</si>
  <si>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</si>
  <si>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</si>
  <si>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</si>
  <si>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</si>
  <si>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</si>
  <si>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</si>
  <si>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</si>
  <si>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</si>
  <si>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</si>
  <si>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</si>
  <si>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</si>
  <si>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</si>
  <si>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</si>
  <si>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</si>
  <si>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</si>
  <si>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</si>
  <si>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</si>
  <si>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</si>
  <si>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</si>
  <si>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</si>
  <si>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</si>
  <si>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</si>
  <si>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</si>
  <si>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</si>
  <si>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</si>
  <si>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</si>
  <si>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</si>
  <si>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</si>
  <si>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</si>
  <si>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</si>
  <si>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</si>
  <si>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</si>
  <si>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</si>
  <si>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</si>
  <si>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</si>
  <si>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</si>
  <si>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</si>
  <si>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</si>
  <si>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</si>
  <si>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</si>
  <si>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</si>
  <si>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</si>
  <si>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</si>
  <si>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</si>
  <si>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</si>
  <si>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</si>
  <si>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</si>
  <si>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</si>
  <si>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</si>
  <si>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</si>
  <si>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</si>
  <si>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</si>
  <si>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</si>
  <si>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</si>
  <si>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</si>
  <si>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</si>
  <si>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</si>
  <si>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</si>
  <si>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</si>
  <si>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</si>
  <si>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</si>
  <si>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</si>
  <si>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</si>
  <si>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</si>
  <si>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</si>
  <si>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</si>
  <si>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</si>
  <si>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</si>
  <si>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</si>
  <si>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</si>
  <si>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</si>
  <si>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</si>
  <si>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</si>
  <si>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</si>
  <si>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</si>
  <si>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</si>
  <si>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</si>
  <si>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</si>
  <si>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</si>
  <si>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</si>
  <si>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</si>
  <si>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</si>
  <si>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</si>
  <si>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</si>
  <si>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</si>
  <si>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</si>
  <si>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</si>
  <si>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</si>
  <si>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</si>
  <si>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</si>
  <si>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</si>
  <si>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</si>
  <si>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</si>
  <si>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</si>
  <si>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</si>
  <si>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</si>
  <si>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</si>
  <si>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</si>
  <si>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</si>
  <si>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</si>
  <si>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</si>
  <si>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</si>
  <si>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</si>
  <si>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</si>
  <si>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</si>
  <si>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</si>
  <si>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</si>
  <si>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</si>
  <si>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</si>
  <si>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</si>
  <si>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</si>
  <si>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</si>
  <si>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</si>
  <si>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</si>
  <si>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</si>
  <si>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</si>
  <si>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</si>
  <si>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</si>
  <si>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</si>
  <si>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</si>
  <si>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</si>
  <si>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</si>
  <si>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</si>
  <si>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</si>
  <si>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</si>
  <si>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</si>
  <si>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</si>
  <si>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</si>
  <si>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</si>
  <si>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</si>
  <si>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</si>
  <si>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</si>
  <si>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</si>
  <si>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</si>
  <si>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</si>
  <si>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</si>
  <si>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</si>
  <si>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</si>
  <si>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</si>
  <si>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</si>
  <si>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</si>
  <si>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</si>
  <si>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</si>
  <si>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</si>
  <si>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</si>
  <si>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</si>
  <si>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</si>
  <si>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</si>
  <si>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</si>
  <si>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</si>
  <si>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</si>
  <si>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</si>
  <si>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</si>
  <si>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</si>
  <si>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</si>
  <si>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</si>
  <si>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</si>
  <si>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</si>
  <si>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</si>
  <si>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</si>
  <si>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</si>
  <si>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</si>
  <si>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</si>
  <si>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</si>
  <si>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</si>
  <si>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</si>
  <si>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</si>
  <si>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</si>
  <si>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</si>
  <si>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</si>
  <si>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</si>
  <si>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</si>
  <si>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</si>
  <si>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</si>
  <si>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</si>
  <si>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</si>
  <si>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</si>
  <si>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</si>
  <si>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</si>
  <si>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</si>
  <si>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</si>
  <si>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</si>
  <si>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</si>
  <si>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</si>
  <si>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</si>
  <si>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</si>
  <si>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</si>
  <si>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</si>
  <si>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</si>
  <si>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</si>
  <si>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</si>
  <si>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</si>
  <si>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</si>
  <si>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</si>
  <si>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</si>
  <si>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</si>
  <si>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</si>
  <si>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</si>
  <si>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</si>
  <si>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</si>
  <si>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</si>
  <si>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</si>
  <si>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</si>
  <si>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</si>
  <si>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</si>
  <si>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</si>
  <si>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</si>
  <si>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</si>
  <si>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</si>
  <si>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</si>
  <si>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</si>
  <si>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</si>
  <si>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</si>
  <si>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</si>
  <si>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</si>
  <si>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</si>
  <si>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</si>
  <si>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</si>
  <si>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</si>
  <si>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</si>
  <si>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</si>
  <si>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</si>
  <si>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</si>
  <si>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</si>
  <si>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</si>
  <si>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</si>
  <si>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</si>
  <si>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</si>
  <si>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</si>
  <si>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</si>
  <si>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</si>
  <si>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</si>
  <si>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</si>
  <si>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</si>
  <si>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</si>
  <si>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</si>
  <si>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</si>
  <si>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</si>
  <si>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</si>
  <si>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</si>
  <si>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</si>
  <si>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</si>
  <si>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</si>
  <si>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</si>
  <si>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</si>
  <si>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</si>
  <si>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</si>
  <si>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</si>
  <si>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</si>
  <si>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</si>
  <si>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</si>
  <si>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</si>
  <si>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</si>
  <si>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</si>
  <si>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</si>
  <si>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</si>
  <si>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</si>
  <si>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</si>
  <si>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</si>
  <si>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</si>
  <si>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</si>
  <si>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</si>
  <si>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</si>
  <si>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</si>
  <si>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</si>
  <si>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</si>
  <si>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</si>
  <si>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</si>
  <si>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</si>
  <si>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</si>
  <si>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</si>
  <si>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</si>
  <si>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</si>
  <si>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</si>
  <si>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</si>
  <si>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</si>
  <si>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</si>
  <si>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</si>
  <si>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</si>
  <si>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</si>
  <si>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</si>
  <si>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</si>
  <si>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</si>
  <si>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</si>
  <si>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</si>
  <si>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</si>
  <si>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</si>
  <si>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</si>
  <si>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</si>
  <si>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</si>
  <si>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</si>
  <si>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</si>
  <si>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</si>
  <si>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</si>
  <si>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</si>
  <si>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</si>
  <si>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</si>
  <si>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</si>
  <si>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</si>
  <si>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</si>
  <si>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</si>
  <si>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</si>
  <si>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</si>
  <si>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</si>
  <si>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</si>
  <si>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</si>
  <si>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</si>
  <si>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</si>
  <si>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</si>
  <si>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</si>
  <si>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</si>
  <si>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</si>
  <si>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</si>
  <si>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</si>
  <si>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</si>
  <si>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</si>
  <si>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</si>
  <si>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</si>
  <si>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</si>
  <si>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</si>
  <si>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</si>
  <si>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</si>
  <si>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</si>
  <si>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</si>
  <si>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</si>
  <si>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</si>
  <si>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</si>
  <si>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</si>
  <si>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</si>
  <si>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</si>
  <si>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</si>
  <si>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</si>
  <si>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</si>
  <si>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</si>
  <si>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</si>
  <si>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</si>
  <si>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</si>
  <si>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</si>
  <si>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</si>
  <si>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</si>
  <si>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</si>
  <si>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</si>
  <si>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</si>
  <si>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</si>
  <si>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</si>
  <si>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</si>
  <si>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</si>
  <si>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</si>
  <si>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</si>
  <si>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</si>
  <si>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</si>
  <si>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</si>
  <si>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</si>
  <si>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</si>
  <si>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</si>
  <si>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</si>
  <si>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</si>
  <si>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</si>
  <si>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</si>
  <si>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</si>
  <si>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</si>
  <si>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</si>
  <si>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</si>
  <si>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</si>
  <si>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</si>
  <si>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</si>
  <si>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</si>
  <si>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</si>
  <si>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</si>
  <si>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</si>
  <si>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</si>
  <si>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</si>
  <si>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</si>
  <si>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</si>
  <si>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</si>
  <si>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</si>
  <si>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</si>
  <si>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</si>
  <si>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</si>
  <si>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</si>
  <si>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</si>
  <si>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</si>
  <si>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</si>
  <si>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</si>
  <si>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</si>
  <si>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</si>
  <si>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</si>
  <si>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</si>
  <si>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</si>
  <si>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</si>
  <si>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</si>
  <si>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</si>
  <si>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</si>
  <si>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</si>
  <si>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</si>
  <si>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</si>
  <si>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</si>
  <si>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</si>
  <si>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</si>
  <si>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</si>
  <si>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</si>
  <si>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</si>
  <si>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</si>
  <si>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</si>
  <si>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</si>
  <si>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</si>
  <si>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</si>
  <si>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</si>
  <si>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</si>
  <si>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</si>
  <si>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</si>
  <si>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</si>
  <si>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</si>
  <si>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</si>
  <si>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</si>
  <si>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</si>
  <si>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</si>
  <si>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</si>
  <si>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</si>
  <si>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</si>
  <si>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</si>
  <si>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</si>
  <si>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</si>
  <si>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</si>
  <si>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</si>
  <si>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</si>
  <si>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</si>
  <si>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</si>
  <si>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</si>
  <si>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</si>
  <si>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</si>
  <si>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</si>
  <si>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</si>
  <si>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</si>
  <si>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</si>
  <si>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</si>
  <si>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</si>
  <si>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</si>
  <si>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</si>
  <si>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</si>
  <si>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</si>
  <si>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</si>
  <si>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</si>
  <si>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</si>
  <si>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</si>
  <si>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</si>
  <si>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</si>
  <si>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</si>
  <si>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</si>
  <si>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</si>
  <si>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</si>
  <si>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</si>
  <si>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</si>
  <si>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</si>
  <si>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</si>
  <si>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</si>
  <si>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</si>
  <si>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</si>
  <si>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</si>
  <si>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</si>
  <si>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</si>
  <si>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</si>
  <si>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</si>
  <si>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</si>
  <si>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</si>
  <si>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</si>
  <si>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</si>
  <si>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</si>
  <si>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</si>
  <si>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</si>
  <si>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</si>
  <si>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</si>
  <si>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</si>
  <si>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</si>
  <si>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</si>
  <si>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</si>
  <si>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</si>
  <si>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</si>
  <si>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</si>
  <si>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</si>
  <si>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</si>
  <si>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</si>
  <si>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</si>
  <si>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</si>
  <si>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</si>
  <si>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</si>
  <si>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</si>
  <si>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</si>
  <si>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</si>
  <si>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</si>
  <si>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</si>
  <si>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</si>
  <si>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</si>
  <si>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</si>
  <si>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</si>
  <si>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</si>
  <si>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</si>
  <si>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</si>
  <si>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</si>
  <si>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</si>
  <si>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</si>
  <si>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</si>
  <si>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</si>
  <si>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</si>
  <si>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</si>
  <si>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</si>
  <si>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</si>
  <si>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</si>
  <si>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</si>
  <si>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</si>
  <si>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</si>
  <si>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</si>
  <si>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</si>
  <si>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</si>
  <si>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</si>
  <si>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</si>
  <si>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</si>
  <si>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</si>
  <si>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</si>
  <si>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</si>
  <si>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</si>
  <si>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</si>
  <si>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</si>
  <si>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</si>
  <si>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</si>
  <si>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</si>
  <si>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</si>
  <si>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</si>
  <si>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</si>
  <si>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</si>
  <si>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</si>
  <si>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</si>
  <si>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</si>
  <si>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</si>
  <si>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</si>
  <si>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</si>
  <si>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</si>
  <si>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</si>
  <si>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</si>
  <si>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</si>
  <si>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</si>
  <si>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</si>
  <si>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</si>
  <si>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</si>
  <si>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</si>
  <si>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</si>
  <si>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</si>
  <si>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</si>
  <si>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</si>
  <si>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</si>
  <si>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</si>
  <si>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</si>
  <si>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</si>
  <si>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</si>
  <si>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</si>
  <si>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</si>
  <si>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</si>
  <si>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</si>
  <si>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</si>
  <si>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</si>
  <si>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</si>
  <si>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</si>
  <si>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</si>
  <si>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</si>
  <si>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</si>
  <si>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</si>
  <si>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</si>
  <si>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</si>
  <si>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</si>
  <si>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</si>
  <si>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</si>
  <si>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</si>
  <si>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</si>
  <si>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</si>
  <si>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</si>
  <si>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</si>
  <si>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</si>
  <si>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</si>
  <si>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</si>
  <si>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</si>
  <si>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</si>
  <si>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</si>
  <si>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</si>
  <si>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</si>
  <si>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</si>
  <si>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</si>
  <si>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</si>
  <si>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</si>
  <si>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</si>
  <si>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</si>
  <si>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</si>
  <si>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</si>
  <si>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</si>
  <si>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</si>
  <si>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</si>
  <si>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</si>
  <si>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</si>
  <si>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</si>
  <si>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</si>
  <si>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</si>
  <si>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</si>
  <si>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</si>
  <si>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</si>
  <si>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</si>
  <si>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</si>
  <si>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</si>
  <si>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</si>
  <si>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</si>
  <si>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</si>
  <si>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</si>
  <si>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</si>
  <si>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</si>
  <si>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</si>
  <si>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</si>
  <si>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</si>
  <si>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</si>
  <si>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</si>
  <si>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</si>
  <si>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</si>
  <si>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</si>
  <si>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</si>
  <si>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</si>
  <si>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</si>
  <si>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</si>
  <si>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</si>
  <si>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</si>
  <si>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</si>
  <si>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</si>
  <si>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</si>
  <si>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</si>
  <si>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</si>
  <si>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</si>
  <si>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</si>
  <si>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</si>
  <si>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</si>
  <si>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</si>
  <si>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</si>
  <si>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</si>
  <si>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</si>
  <si>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</si>
  <si>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</si>
  <si>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</si>
  <si>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</si>
  <si>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</si>
  <si>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</si>
  <si>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</si>
  <si>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</si>
  <si>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</si>
  <si>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</si>
  <si>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</si>
  <si>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</si>
  <si>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</si>
  <si>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</si>
  <si>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</si>
  <si>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</si>
  <si>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</si>
  <si>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</si>
  <si>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</si>
  <si>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</si>
  <si>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</si>
  <si>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</si>
  <si>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</si>
  <si>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</si>
  <si>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</si>
  <si>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</si>
  <si>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</si>
  <si>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</si>
  <si>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</si>
  <si>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</si>
  <si>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</si>
  <si>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</si>
  <si>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</si>
  <si>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</si>
  <si>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</si>
  <si>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</si>
  <si>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</si>
  <si>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</si>
  <si>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</si>
  <si>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</si>
  <si>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</si>
  <si>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</si>
  <si>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</si>
  <si>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</si>
  <si>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</si>
  <si>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</si>
  <si>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</si>
  <si>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</si>
  <si>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</si>
  <si>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</si>
  <si>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</si>
  <si>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</si>
  <si>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</si>
  <si>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</si>
  <si>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</si>
  <si>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</si>
  <si>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</si>
  <si>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</si>
  <si>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</si>
  <si>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</si>
  <si>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</si>
  <si>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</si>
  <si>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</si>
  <si>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</si>
  <si>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</si>
  <si>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</si>
  <si>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</si>
  <si>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</si>
  <si>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</si>
  <si>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</si>
  <si>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</si>
  <si>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</si>
  <si>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</si>
  <si>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</si>
  <si>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</si>
  <si>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</si>
  <si>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</si>
  <si>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</si>
  <si>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</si>
  <si>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</si>
  <si>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</si>
  <si>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</si>
  <si>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</si>
  <si>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</si>
  <si>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</si>
  <si>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</si>
  <si>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</si>
  <si>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</si>
  <si>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</si>
  <si>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</si>
  <si>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</si>
  <si>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</si>
  <si>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</si>
  <si>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</si>
  <si>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</si>
  <si>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</si>
  <si>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</si>
  <si>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</si>
  <si>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</si>
  <si>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</si>
  <si>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</si>
  <si>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</si>
  <si>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</si>
  <si>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</si>
  <si>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</si>
  <si>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</si>
  <si>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</si>
  <si>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</si>
  <si>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</si>
  <si>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</si>
  <si>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</si>
  <si>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</si>
  <si>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</si>
  <si>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</si>
  <si>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</si>
  <si>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</si>
  <si>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</si>
  <si>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</si>
  <si>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</si>
  <si>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</si>
  <si>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</si>
  <si>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</si>
  <si>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</si>
  <si>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</si>
  <si>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</si>
  <si>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</si>
  <si>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</si>
  <si>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</si>
  <si>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</si>
  <si>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</si>
  <si>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</si>
  <si>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</si>
  <si>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</si>
  <si>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</si>
  <si>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</si>
  <si>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</si>
  <si>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</si>
  <si>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</si>
  <si>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</si>
  <si>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</si>
  <si>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</si>
  <si>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</si>
  <si>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</si>
  <si>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</si>
  <si>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</si>
  <si>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</si>
  <si>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</si>
  <si>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</si>
  <si>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</si>
  <si>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</si>
  <si>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</si>
  <si>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</si>
  <si>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</si>
  <si>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</si>
  <si>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</si>
  <si>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</si>
  <si>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</si>
  <si>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</si>
  <si>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</si>
  <si>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</si>
  <si>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</si>
  <si>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</si>
  <si>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</si>
  <si>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</si>
  <si>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</si>
  <si>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</si>
  <si>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</si>
  <si>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</si>
  <si>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</si>
  <si>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</si>
  <si>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</si>
  <si>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</si>
  <si>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</si>
  <si>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</si>
  <si>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</si>
  <si>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</si>
  <si>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</si>
  <si>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</si>
  <si>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</si>
  <si>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</si>
  <si>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</si>
  <si>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</si>
  <si>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</si>
  <si>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</si>
  <si>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</si>
  <si>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</si>
  <si>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</si>
  <si>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</si>
  <si>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</si>
  <si>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</si>
  <si>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</si>
  <si>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</si>
  <si>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</si>
  <si>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</si>
  <si>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</si>
  <si>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</si>
  <si>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</si>
  <si>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</si>
  <si>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</si>
  <si>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</si>
  <si>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</si>
  <si>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</si>
  <si>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</si>
  <si>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</si>
  <si>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</si>
  <si>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</si>
  <si>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</si>
  <si>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</si>
  <si>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</si>
  <si>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</si>
  <si>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</si>
  <si>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</si>
  <si>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</si>
  <si>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</si>
  <si>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</si>
  <si>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</si>
  <si>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</si>
  <si>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</si>
  <si>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</si>
  <si>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</si>
  <si>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</si>
  <si>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</si>
  <si>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</si>
  <si>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</si>
  <si>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</si>
  <si>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</si>
  <si>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</si>
  <si>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</si>
  <si>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</si>
  <si>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</si>
  <si>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</si>
  <si>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</si>
  <si>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</si>
  <si>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</si>
  <si>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</si>
  <si>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</si>
  <si>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</si>
  <si>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</si>
  <si>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</si>
  <si>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</si>
  <si>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</si>
  <si>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</si>
  <si>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</si>
  <si>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</si>
  <si>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</si>
  <si>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</si>
  <si>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</si>
  <si>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</si>
  <si>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</si>
  <si>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</si>
  <si>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</si>
  <si>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</si>
  <si>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</si>
  <si>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</si>
  <si>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</si>
  <si>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</si>
  <si>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</si>
  <si>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</si>
  <si>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</si>
  <si>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</si>
  <si>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</si>
  <si>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</si>
  <si>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</si>
  <si>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</si>
  <si>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</si>
  <si>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</si>
  <si>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</si>
  <si>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</si>
  <si>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</si>
  <si>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</si>
  <si>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</si>
  <si>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</si>
  <si>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</si>
  <si>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</si>
  <si>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</si>
  <si>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</si>
  <si>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</si>
  <si>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</si>
  <si>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</si>
  <si>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</si>
  <si>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</si>
  <si>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</si>
  <si>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</si>
  <si>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</si>
  <si>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</si>
  <si>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</si>
  <si>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</si>
  <si>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</si>
  <si>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</si>
  <si>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</si>
  <si>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</si>
  <si>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</si>
  <si>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</si>
  <si>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</si>
  <si>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</si>
  <si>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</si>
  <si>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</si>
  <si>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</si>
  <si>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</si>
  <si>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</si>
  <si>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</si>
  <si>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</si>
  <si>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</si>
  <si>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</si>
  <si>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</si>
  <si>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</si>
  <si>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</si>
  <si>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</si>
  <si>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</si>
  <si>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</si>
  <si>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</si>
  <si>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</si>
  <si>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</si>
  <si>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</si>
  <si>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</si>
  <si>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</si>
  <si>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</si>
  <si>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</si>
  <si>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</si>
  <si>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</si>
  <si>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</si>
  <si>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</si>
  <si>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</si>
  <si>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</si>
  <si>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</si>
  <si>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</si>
  <si>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</si>
  <si>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</si>
  <si>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</si>
  <si>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</si>
  <si>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</si>
  <si>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</si>
  <si>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</si>
  <si>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</si>
  <si>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</si>
  <si>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</si>
  <si>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</si>
  <si>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</si>
  <si>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</si>
  <si>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</si>
  <si>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</si>
  <si>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</si>
  <si>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</si>
  <si>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</si>
  <si>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</si>
  <si>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</si>
  <si>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</si>
  <si>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</si>
  <si>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</si>
  <si>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</si>
  <si>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</si>
  <si>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</si>
  <si>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</si>
  <si>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</si>
  <si>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</si>
  <si>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</si>
  <si>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</si>
  <si>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</si>
  <si>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</si>
  <si>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</si>
  <si>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</si>
  <si>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</si>
  <si>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</si>
  <si>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</si>
  <si>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</si>
  <si>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</si>
  <si>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</si>
  <si>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</si>
  <si>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</si>
  <si>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</si>
  <si>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</si>
  <si>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</si>
  <si>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</si>
  <si>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</si>
  <si>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</si>
  <si>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</si>
  <si>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</si>
  <si>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</si>
  <si>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</si>
  <si>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</si>
  <si>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</si>
  <si>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</si>
  <si>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</si>
  <si>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</si>
  <si>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</si>
  <si>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</si>
  <si>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</si>
  <si>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</si>
  <si>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</si>
  <si>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</si>
  <si>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</si>
  <si>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</si>
  <si>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</si>
  <si>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</si>
  <si>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</si>
  <si>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</si>
  <si>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</si>
  <si>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</si>
  <si>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</si>
  <si>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</si>
  <si>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</si>
  <si>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</si>
  <si>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</si>
  <si>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</si>
  <si>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</si>
  <si>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</si>
  <si>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</si>
  <si>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</si>
  <si>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</si>
  <si>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</si>
  <si>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</si>
  <si>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</si>
  <si>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</si>
  <si>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</si>
  <si>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</si>
  <si>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</si>
  <si>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</si>
  <si>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</si>
  <si>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</si>
  <si>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</si>
  <si>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</si>
  <si>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</si>
  <si>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</si>
  <si>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</si>
  <si>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</si>
  <si>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</si>
  <si>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</si>
  <si>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</si>
  <si>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</si>
  <si>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</si>
  <si>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</si>
  <si>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</si>
  <si>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</si>
  <si>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</si>
  <si>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</si>
  <si>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</si>
  <si>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</si>
  <si>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</si>
  <si>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</si>
  <si>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</si>
  <si>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</si>
  <si>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</si>
  <si>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</si>
  <si>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</si>
  <si>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</si>
  <si>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</si>
  <si>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</si>
  <si>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</si>
  <si>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</si>
  <si>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</si>
  <si>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</si>
  <si>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</si>
  <si>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</si>
  <si>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</si>
  <si>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</si>
  <si>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</si>
  <si>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</si>
  <si>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</si>
  <si>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</si>
  <si>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</si>
  <si>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</si>
  <si>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</si>
  <si>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</si>
  <si>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</si>
  <si>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</si>
  <si>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</si>
  <si>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</si>
  <si>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</si>
  <si>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</si>
  <si>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</si>
  <si>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</si>
  <si>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</si>
  <si>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</si>
  <si>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</si>
  <si>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</si>
  <si>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</si>
  <si>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</si>
  <si>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</si>
  <si>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</si>
  <si>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</si>
  <si>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</si>
  <si>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</si>
  <si>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</si>
  <si>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</si>
  <si>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</si>
  <si>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</si>
  <si>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</si>
  <si>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</si>
  <si>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</si>
  <si>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</si>
  <si>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</si>
  <si>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</si>
  <si>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</si>
  <si>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</si>
  <si>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</si>
  <si>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</si>
  <si>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</si>
  <si>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</si>
  <si>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</si>
  <si>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</si>
  <si>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</si>
  <si>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</si>
  <si>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</si>
  <si>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</si>
  <si>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</si>
  <si>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</si>
  <si>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</si>
  <si>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</si>
  <si>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</si>
  <si>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</si>
  <si>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</si>
  <si>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</si>
  <si>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</si>
  <si>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</si>
  <si>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</si>
  <si>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</si>
  <si>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</si>
  <si>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</si>
  <si>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</si>
  <si>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</si>
  <si>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</si>
  <si>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</si>
  <si>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</si>
  <si>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</si>
  <si>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</si>
  <si>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</si>
  <si>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</si>
  <si>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</si>
  <si>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</si>
  <si>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</si>
  <si>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</si>
  <si>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</si>
  <si>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</si>
  <si>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</si>
  <si>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</si>
  <si>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</si>
  <si>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</si>
  <si>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</si>
  <si>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</si>
  <si>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</si>
  <si>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</si>
  <si>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</si>
  <si>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</si>
  <si>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</si>
  <si>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</si>
  <si>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</si>
  <si>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</si>
  <si>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</si>
  <si>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</si>
  <si>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</si>
  <si>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</si>
  <si>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</si>
  <si>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</si>
  <si>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</si>
  <si>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</si>
  <si>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</si>
  <si>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</si>
  <si>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</si>
  <si>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</si>
  <si>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</si>
  <si>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</si>
  <si>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</si>
  <si>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</si>
  <si>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</si>
  <si>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</si>
  <si>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</si>
  <si>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</si>
  <si>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</si>
  <si>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</si>
  <si>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</si>
  <si>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</si>
  <si>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</si>
  <si>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</si>
  <si>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</si>
  <si>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</si>
  <si>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</si>
  <si>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</si>
  <si>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</si>
  <si>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</si>
  <si>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</si>
  <si>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</si>
  <si>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</si>
  <si>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</si>
  <si>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</si>
  <si>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</si>
  <si>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</si>
  <si>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</si>
  <si>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</si>
  <si>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</si>
  <si>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</si>
  <si>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</si>
  <si>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</si>
  <si>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</si>
  <si>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</si>
  <si>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</si>
  <si>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</si>
  <si>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</si>
  <si>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</si>
  <si>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</si>
  <si>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</si>
  <si>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</si>
  <si>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</si>
  <si>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</si>
  <si>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</si>
  <si>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</si>
  <si>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</si>
  <si>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</si>
  <si>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</si>
  <si>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</si>
  <si>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</si>
  <si>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</si>
  <si>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</si>
  <si>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</si>
  <si>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</si>
  <si>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</si>
  <si>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</si>
  <si>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</si>
  <si>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</si>
  <si>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</si>
  <si>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</si>
  <si>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</si>
  <si>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</si>
  <si>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</si>
  <si>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</si>
  <si>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</si>
  <si>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</si>
  <si>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</si>
  <si>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</si>
  <si>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</si>
  <si>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</si>
  <si>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</si>
  <si>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</si>
  <si>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</si>
  <si>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</si>
  <si>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</si>
  <si>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</si>
  <si>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</si>
  <si>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</si>
  <si>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</si>
  <si>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</si>
  <si>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</si>
  <si>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</si>
  <si>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</si>
  <si>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</si>
  <si>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</si>
  <si>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</si>
  <si>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</si>
  <si>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</si>
  <si>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</si>
  <si>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</si>
  <si>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</si>
  <si>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</si>
  <si>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</si>
  <si>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</si>
  <si>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</si>
  <si>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</si>
  <si>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</si>
  <si>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</si>
  <si>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</si>
  <si>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</si>
  <si>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</si>
  <si>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</si>
  <si>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</si>
  <si>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</si>
  <si>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</si>
  <si>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</si>
  <si>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</si>
  <si>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</si>
  <si>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</si>
  <si>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</si>
  <si>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</si>
  <si>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</si>
  <si>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</si>
  <si>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</si>
  <si>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</si>
  <si>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</si>
  <si>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</si>
  <si>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</si>
  <si>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</si>
  <si>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</si>
  <si>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</si>
  <si>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</si>
  <si>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</si>
  <si>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</si>
  <si>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</si>
  <si>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</si>
  <si>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</si>
  <si>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</si>
  <si>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</si>
  <si>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</si>
  <si>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</si>
  <si>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</si>
  <si>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</si>
  <si>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</si>
  <si>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</si>
  <si>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</si>
  <si>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</si>
  <si>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</si>
  <si>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</si>
  <si>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</si>
  <si>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</si>
  <si>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</si>
  <si>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</si>
  <si>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</si>
  <si>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</si>
  <si>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</si>
  <si>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</si>
  <si>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</si>
  <si>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</si>
  <si>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</si>
  <si>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</si>
  <si>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</si>
  <si>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</si>
  <si>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</si>
  <si>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</si>
  <si>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</si>
  <si>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</si>
  <si>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</si>
  <si>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</si>
  <si>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</si>
  <si>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</si>
  <si>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</si>
  <si>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</si>
  <si>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</si>
  <si>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</si>
  <si>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</si>
  <si>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</si>
  <si>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</si>
  <si>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</si>
  <si>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</si>
  <si>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</si>
  <si>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</si>
  <si>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</si>
  <si>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</si>
  <si>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</si>
  <si>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</si>
  <si>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</si>
  <si>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</si>
  <si>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</si>
  <si>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</si>
  <si>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</si>
  <si>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</si>
  <si>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</si>
  <si>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</si>
  <si>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</si>
  <si>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</si>
  <si>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</si>
  <si>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</si>
  <si>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</si>
  <si>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</si>
  <si>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</si>
  <si>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</si>
  <si>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</si>
  <si>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</si>
  <si>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</si>
  <si>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</si>
  <si>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</si>
  <si>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</si>
  <si>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</si>
  <si>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</si>
  <si>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</si>
  <si>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</si>
  <si>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</si>
  <si>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</si>
  <si>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</si>
  <si>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</si>
  <si>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</si>
  <si>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</si>
  <si>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</si>
  <si>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</si>
  <si>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</si>
  <si>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</si>
  <si>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</si>
  <si>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</si>
  <si>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</si>
  <si>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</si>
  <si>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</si>
  <si>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</si>
  <si>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</si>
  <si>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</si>
  <si>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</si>
  <si>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</si>
  <si>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</si>
  <si>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</si>
  <si>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</si>
  <si>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</si>
  <si>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</si>
  <si>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</si>
  <si>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</si>
  <si>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</si>
  <si>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</si>
  <si>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</si>
  <si>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</si>
  <si>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</si>
  <si>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</si>
  <si>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</si>
  <si>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</si>
  <si>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</si>
  <si>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</si>
  <si>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</si>
  <si>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</si>
  <si>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</si>
  <si>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</si>
  <si>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</si>
  <si>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</si>
  <si>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</si>
  <si>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</si>
  <si>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</si>
  <si>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</si>
  <si>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</si>
  <si>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</si>
  <si>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</si>
  <si>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</si>
  <si>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</si>
  <si>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</si>
  <si>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</si>
  <si>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</si>
  <si>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</si>
  <si>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</si>
  <si>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</si>
  <si>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</si>
  <si>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</si>
  <si>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</si>
  <si>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</si>
  <si>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</si>
  <si>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</si>
  <si>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</si>
  <si>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</si>
  <si>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</si>
  <si>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</si>
  <si>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</si>
  <si>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</si>
  <si>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</si>
  <si>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</si>
  <si>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</si>
  <si>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</si>
  <si>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</si>
  <si>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</si>
  <si>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</si>
  <si>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</si>
  <si>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</si>
  <si>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</si>
  <si>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</si>
  <si>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</si>
  <si>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</si>
  <si>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</si>
  <si>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</si>
  <si>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</si>
  <si>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</si>
  <si>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</si>
  <si>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</si>
  <si>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</si>
  <si>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</si>
  <si>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</si>
  <si>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</si>
  <si>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</si>
  <si>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</si>
  <si>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</si>
  <si>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</si>
  <si>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</si>
  <si>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</si>
  <si>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</si>
  <si>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</si>
  <si>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</si>
  <si>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</si>
  <si>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</si>
  <si>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</si>
  <si>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</si>
  <si>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</si>
  <si>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</si>
  <si>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</si>
  <si>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</si>
  <si>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</si>
  <si>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</si>
  <si>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</si>
  <si>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</si>
  <si>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</si>
  <si>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</si>
  <si>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</si>
  <si>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</si>
  <si>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</si>
  <si>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</si>
  <si>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</si>
  <si>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</si>
  <si>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</si>
  <si>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</si>
  <si>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</si>
  <si>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</si>
  <si>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</si>
  <si>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</si>
  <si>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</si>
  <si>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</si>
  <si>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</si>
  <si>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</si>
  <si>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</si>
  <si>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</si>
  <si>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</si>
  <si>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</si>
  <si>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</si>
  <si>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</si>
  <si>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</si>
  <si>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</si>
  <si>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</si>
  <si>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</si>
  <si>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</si>
  <si>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</si>
  <si>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</si>
  <si>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</si>
  <si>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</si>
  <si>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</si>
  <si>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</si>
  <si>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</si>
  <si>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</si>
  <si>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</si>
  <si>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</si>
  <si>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</si>
  <si>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</si>
  <si>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</si>
  <si>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</si>
  <si>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</si>
  <si>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</si>
  <si>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</si>
  <si>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</si>
  <si>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</si>
  <si>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</si>
  <si>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</si>
  <si>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</si>
  <si>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</si>
  <si>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</si>
  <si>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</si>
  <si>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</si>
  <si>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</si>
  <si>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</si>
  <si>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</si>
  <si>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</si>
  <si>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</si>
  <si>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</si>
  <si>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</si>
  <si>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</si>
  <si>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</si>
  <si>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</si>
  <si>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</si>
  <si>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</si>
  <si>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</si>
  <si>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</si>
  <si>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</si>
  <si>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</si>
  <si>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</si>
  <si>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</si>
  <si>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</si>
  <si>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</si>
  <si>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</si>
  <si>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</si>
  <si>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</si>
  <si>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</si>
  <si>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</si>
  <si>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</si>
  <si>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</si>
  <si>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</si>
  <si>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</si>
  <si>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</si>
  <si>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</si>
  <si>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</si>
  <si>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</si>
  <si>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</si>
  <si>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</si>
  <si>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</si>
  <si>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</si>
  <si>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</si>
  <si>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</si>
  <si>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</si>
  <si>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</si>
  <si>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</si>
  <si>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</si>
  <si>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</si>
  <si>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</si>
  <si>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</si>
  <si>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</si>
  <si>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</si>
  <si>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</si>
  <si>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</si>
  <si>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</si>
  <si>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</si>
  <si>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</si>
  <si>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</si>
  <si>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</si>
  <si>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</si>
  <si>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</si>
  <si>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</si>
  <si>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</si>
  <si>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</si>
  <si>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</si>
  <si>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</si>
  <si>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</si>
  <si>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</si>
  <si>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</si>
  <si>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</si>
  <si>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</si>
  <si>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</si>
  <si>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</si>
  <si>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</si>
  <si>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</si>
  <si>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</si>
  <si>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</si>
  <si>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</si>
  <si>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</si>
  <si>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</si>
  <si>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</si>
  <si>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</si>
  <si>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</si>
  <si>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</si>
  <si>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</si>
  <si>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</si>
  <si>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</si>
  <si>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</si>
  <si>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</si>
  <si>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</si>
  <si>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</si>
  <si>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</si>
  <si>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</si>
  <si>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</si>
  <si>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</si>
  <si>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</si>
  <si>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</si>
  <si>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</si>
  <si>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</si>
  <si>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</si>
  <si>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</si>
  <si>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</si>
  <si>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</si>
  <si>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</si>
  <si>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</si>
  <si>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</si>
  <si>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</si>
  <si>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</si>
  <si>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</si>
  <si>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</si>
  <si>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</si>
  <si>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</si>
  <si>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</si>
  <si>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</si>
  <si>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</si>
  <si>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</si>
  <si>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</si>
  <si>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</si>
  <si>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</si>
  <si>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</si>
  <si>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</si>
  <si>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</si>
  <si>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</si>
  <si>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</si>
  <si>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</si>
  <si>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</si>
  <si>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</si>
  <si>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</si>
  <si>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</si>
  <si>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</si>
  <si>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</si>
  <si>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</si>
  <si>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</si>
  <si>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</si>
  <si>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</si>
  <si>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</si>
  <si>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</si>
  <si>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</si>
  <si>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</si>
  <si>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</si>
  <si>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</si>
  <si>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</si>
  <si>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</si>
  <si>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</si>
  <si>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</si>
  <si>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</si>
  <si>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</si>
  <si>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</si>
  <si>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</si>
  <si>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</si>
  <si>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</si>
  <si>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</si>
  <si>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</si>
  <si>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</si>
  <si>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</si>
  <si>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</si>
  <si>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</si>
  <si>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</si>
  <si>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</si>
  <si>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</si>
  <si>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</si>
  <si>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</si>
  <si>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</si>
  <si>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</si>
  <si>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</si>
  <si>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</si>
  <si>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</si>
  <si>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</si>
  <si>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</si>
  <si>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</si>
  <si>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</si>
  <si>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</si>
  <si>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</si>
  <si>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</si>
  <si>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</si>
  <si>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</si>
  <si>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</si>
  <si>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</si>
  <si>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</si>
  <si>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</si>
  <si>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</si>
  <si>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</si>
  <si>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</si>
  <si>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</si>
  <si>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</si>
  <si>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</si>
  <si>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</si>
  <si>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</si>
  <si>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</si>
  <si>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</si>
  <si>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</si>
  <si>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</si>
  <si>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</si>
  <si>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</si>
  <si>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</si>
  <si>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</si>
  <si>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</si>
  <si>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</si>
  <si>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</si>
  <si>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</si>
  <si>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</si>
  <si>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</si>
  <si>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</si>
  <si>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</si>
  <si>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</si>
  <si>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</si>
  <si>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</si>
  <si>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</si>
  <si>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</si>
  <si>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</si>
  <si>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</si>
  <si>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</si>
  <si>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</si>
  <si>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</si>
  <si>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</si>
  <si>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</si>
  <si>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</si>
  <si>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</si>
  <si>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</si>
  <si>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</si>
  <si>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</si>
  <si>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</si>
  <si>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</si>
  <si>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</si>
  <si>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</si>
  <si>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</si>
  <si>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</si>
  <si>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</si>
  <si>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</si>
  <si>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</si>
  <si>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</si>
  <si>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</si>
  <si>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</si>
  <si>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</si>
  <si>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</si>
  <si>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</si>
  <si>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</si>
  <si>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</si>
  <si>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</si>
  <si>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</si>
  <si>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</si>
  <si>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</si>
  <si>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</si>
  <si>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</si>
  <si>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</si>
  <si>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</si>
  <si>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</si>
  <si>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</si>
  <si>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</si>
  <si>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</si>
  <si>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</si>
  <si>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</si>
  <si>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</si>
  <si>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</si>
  <si>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</si>
  <si>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</si>
  <si>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</si>
  <si>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</si>
  <si>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</si>
  <si>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</si>
  <si>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</si>
  <si>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</si>
  <si>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</si>
  <si>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</si>
  <si>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</si>
  <si>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</si>
  <si>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</si>
  <si>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</si>
  <si>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</si>
  <si>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</si>
  <si>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</si>
  <si>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</si>
  <si>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</si>
  <si>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</si>
  <si>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</si>
  <si>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</si>
  <si>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</si>
  <si>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</si>
  <si>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</si>
  <si>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</si>
  <si>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</si>
  <si>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</si>
  <si>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</si>
  <si>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</si>
  <si>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</si>
  <si>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</si>
  <si>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</si>
  <si>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</si>
  <si>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</si>
  <si>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</si>
  <si>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</si>
  <si>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</si>
  <si>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</si>
  <si>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</si>
  <si>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</si>
  <si>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</si>
  <si>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</si>
  <si>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</si>
  <si>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</si>
  <si>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</si>
  <si>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</si>
  <si>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</si>
  <si>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</si>
  <si>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</si>
  <si>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</si>
  <si>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</si>
  <si>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</si>
  <si>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</si>
  <si>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</si>
  <si>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</si>
  <si>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</si>
  <si>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</si>
  <si>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</si>
  <si>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</si>
  <si>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</si>
  <si>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</si>
  <si>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</si>
  <si>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</si>
  <si>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</si>
  <si>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</si>
  <si>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</si>
  <si>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</si>
  <si>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</si>
  <si>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</si>
  <si>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</si>
  <si>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</si>
  <si>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</si>
  <si>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</si>
  <si>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</si>
  <si>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</si>
  <si>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</si>
  <si>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</si>
  <si>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</si>
  <si>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</si>
  <si>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</si>
  <si>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</si>
  <si>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</si>
  <si>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</si>
  <si>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</si>
  <si>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</si>
  <si>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</si>
  <si>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</si>
  <si>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</si>
  <si>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</si>
  <si>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</si>
  <si>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</si>
  <si>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</si>
  <si>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</si>
  <si>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</si>
  <si>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</si>
  <si>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</si>
  <si>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</si>
  <si>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</si>
  <si>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</si>
  <si>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</si>
  <si>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</si>
  <si>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</si>
  <si>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</si>
  <si>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</si>
  <si>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</si>
  <si>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</si>
  <si>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</si>
  <si>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</si>
  <si>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</si>
  <si>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</si>
  <si>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</si>
  <si>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</si>
  <si>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</si>
  <si>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</si>
  <si>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</si>
  <si>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</si>
  <si>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</si>
  <si>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</si>
  <si>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</si>
  <si>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</si>
  <si>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</si>
  <si>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</si>
  <si>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</si>
  <si>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</si>
  <si>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</si>
  <si>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</si>
  <si>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</si>
  <si>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</si>
  <si>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</si>
  <si>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</si>
  <si>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</si>
  <si>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</si>
  <si>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</si>
  <si>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</si>
  <si>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</si>
  <si>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</si>
  <si>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</si>
  <si>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</si>
  <si>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</si>
  <si>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</si>
  <si>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</si>
  <si>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</si>
  <si>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</si>
  <si>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</si>
  <si>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</si>
  <si>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</si>
  <si>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</si>
  <si>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</si>
  <si>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</si>
  <si>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</si>
  <si>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</si>
  <si>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</si>
  <si>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</si>
  <si>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</si>
  <si>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</si>
  <si>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</si>
  <si>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</si>
  <si>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</si>
  <si>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</si>
  <si>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</si>
  <si>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</si>
  <si>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</si>
  <si>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</si>
  <si>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</si>
  <si>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</si>
  <si>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</si>
  <si>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</si>
  <si>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</si>
  <si>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</si>
  <si>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</si>
  <si>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</si>
  <si>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</si>
  <si>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</si>
  <si>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</si>
  <si>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</si>
  <si>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</si>
  <si>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</si>
  <si>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</si>
  <si>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</si>
  <si>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</si>
  <si>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</si>
  <si>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</si>
  <si>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</si>
  <si>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</si>
  <si>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</si>
  <si>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</si>
  <si>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</si>
  <si>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</si>
  <si>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</si>
  <si>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</si>
  <si>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</si>
  <si>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</si>
  <si>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</si>
  <si>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</si>
  <si>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</si>
  <si>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</si>
  <si>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</si>
  <si>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</si>
  <si>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</si>
  <si>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</si>
  <si>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</si>
  <si>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</si>
  <si>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</si>
  <si>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</si>
  <si>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</si>
  <si>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</si>
  <si>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</si>
  <si>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</si>
  <si>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</si>
  <si>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</si>
  <si>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</si>
  <si>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</si>
  <si>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</si>
  <si>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</si>
  <si>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</si>
  <si>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</si>
  <si>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</si>
  <si>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</si>
  <si>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</si>
  <si>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</si>
  <si>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</si>
  <si>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</si>
  <si>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</si>
  <si>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</si>
  <si>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</si>
  <si>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</si>
  <si>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</si>
  <si>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</si>
  <si>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</si>
  <si>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</si>
  <si>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</si>
  <si>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</si>
  <si>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</si>
  <si>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</si>
  <si>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</si>
  <si>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</si>
  <si>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</si>
  <si>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</si>
  <si>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</si>
  <si>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</si>
  <si>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</si>
  <si>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</si>
  <si>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</si>
  <si>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</si>
  <si>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</si>
  <si>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</si>
  <si>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</si>
  <si>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</si>
  <si>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</si>
  <si>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</si>
  <si>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</si>
  <si>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</si>
  <si>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</si>
  <si>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</si>
  <si>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</si>
  <si>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</si>
  <si>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</si>
  <si>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</si>
  <si>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</si>
  <si>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</si>
  <si>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</si>
  <si>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</si>
  <si>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</si>
  <si>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</si>
  <si>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</si>
  <si>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</si>
  <si>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</si>
  <si>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</si>
  <si>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</si>
  <si>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</si>
  <si>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</si>
  <si>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</si>
  <si>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</si>
  <si>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</si>
  <si>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</si>
  <si>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</si>
  <si>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</si>
  <si>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</si>
  <si>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</si>
  <si>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</si>
  <si>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</si>
  <si>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</si>
  <si>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</si>
  <si>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</si>
  <si>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</si>
  <si>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</si>
  <si>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</si>
  <si>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</si>
  <si>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</si>
  <si>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</si>
  <si>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</si>
  <si>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</si>
  <si>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</si>
  <si>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</si>
  <si>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</si>
  <si>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</si>
  <si>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</si>
  <si>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</si>
  <si>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</si>
  <si>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</si>
  <si>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</si>
  <si>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</si>
  <si>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</si>
  <si>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</si>
  <si>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</si>
  <si>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</si>
  <si>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</si>
  <si>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</si>
  <si>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</si>
  <si>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</si>
  <si>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</si>
  <si>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</si>
  <si>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</si>
  <si>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</si>
  <si>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</si>
  <si>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</si>
  <si>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</si>
  <si>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</si>
  <si>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</si>
  <si>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</si>
  <si>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</si>
  <si>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</si>
  <si>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</si>
  <si>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</si>
  <si>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</si>
  <si>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</si>
  <si>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</si>
  <si>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</si>
  <si>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</si>
  <si>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</si>
  <si>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</si>
  <si>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</si>
  <si>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</si>
  <si>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</si>
  <si>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</si>
  <si>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</si>
  <si>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</si>
  <si>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</si>
  <si>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</si>
  <si>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</si>
  <si>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</si>
  <si>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</si>
  <si>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</si>
  <si>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</si>
  <si>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</si>
  <si>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</si>
  <si>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</si>
  <si>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</si>
  <si>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</si>
  <si>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</si>
  <si>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</si>
  <si>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</si>
  <si>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</si>
  <si>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</si>
  <si>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</si>
  <si>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</si>
  <si>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</si>
  <si>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</si>
  <si>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</si>
  <si>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</si>
  <si>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</si>
  <si>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</si>
  <si>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</si>
  <si>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</si>
  <si>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</si>
  <si>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</si>
  <si>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</si>
  <si>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</si>
  <si>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</si>
  <si>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</si>
  <si>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</si>
  <si>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</si>
  <si>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</si>
  <si>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</si>
  <si>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</si>
  <si>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</si>
  <si>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</si>
  <si>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</si>
  <si>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</si>
  <si>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</si>
  <si>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</si>
  <si>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</si>
  <si>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</si>
  <si>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</si>
  <si>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</si>
  <si>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</si>
  <si>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</si>
  <si>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</si>
  <si>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</si>
  <si>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</si>
  <si>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</si>
  <si>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</si>
  <si>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</si>
  <si>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</si>
  <si>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</si>
  <si>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</si>
  <si>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</si>
  <si>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</si>
  <si>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</si>
  <si>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</si>
  <si>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</si>
  <si>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</si>
  <si>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</si>
  <si>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</si>
  <si>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</si>
  <si>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</si>
  <si>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</si>
  <si>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</si>
  <si>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</si>
  <si>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</si>
  <si>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</si>
  <si>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</si>
  <si>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</si>
  <si>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</si>
  <si>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</si>
  <si>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</si>
  <si>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</si>
  <si>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</si>
  <si>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</si>
  <si>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</si>
  <si>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</si>
  <si>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</si>
  <si>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</si>
  <si>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</si>
  <si>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</si>
  <si>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</si>
  <si>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</si>
  <si>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</si>
  <si>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</si>
  <si>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</si>
  <si>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</si>
  <si>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</si>
  <si>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</si>
  <si>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</si>
  <si>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</si>
  <si>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</si>
  <si>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</si>
  <si>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</si>
  <si>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</si>
  <si>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</si>
  <si>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</si>
  <si>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</si>
  <si>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</si>
  <si>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</si>
  <si>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</si>
  <si>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</si>
  <si>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</si>
  <si>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</si>
  <si>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</si>
  <si>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</si>
  <si>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</si>
  <si>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</si>
  <si>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</si>
  <si>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</si>
  <si>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</si>
  <si>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</si>
  <si>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</si>
  <si>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</si>
  <si>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</si>
  <si>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</si>
  <si>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</si>
  <si>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</si>
  <si>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</si>
  <si>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</si>
  <si>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</si>
  <si>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</si>
  <si>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</si>
  <si>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</si>
  <si>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</si>
  <si>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</si>
  <si>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</si>
  <si>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</si>
  <si>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</si>
  <si>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</si>
  <si>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</si>
  <si>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</si>
  <si>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</si>
  <si>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</si>
  <si>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</si>
  <si>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</si>
  <si>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</si>
  <si>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</si>
  <si>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</si>
  <si>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</si>
  <si>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</si>
  <si>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</si>
  <si>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</si>
  <si>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</si>
  <si>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</si>
  <si>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</si>
  <si>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</si>
  <si>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</si>
  <si>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</si>
  <si>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</si>
  <si>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</si>
  <si>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</si>
  <si>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</si>
  <si>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</si>
  <si>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</si>
  <si>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</si>
  <si>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</si>
  <si>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</si>
  <si>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</si>
  <si>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</si>
  <si>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</si>
  <si>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</si>
  <si>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</si>
  <si>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</si>
  <si>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</si>
  <si>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</si>
  <si>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</si>
  <si>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</si>
  <si>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</si>
  <si>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</si>
  <si>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</si>
  <si>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</si>
  <si>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</si>
  <si>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</si>
  <si>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</si>
  <si>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</si>
  <si>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</si>
  <si>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</si>
  <si>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</si>
  <si>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</si>
  <si>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</si>
  <si>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</si>
  <si>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</si>
  <si>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</si>
  <si>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</si>
  <si>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</si>
  <si>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</si>
  <si>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</si>
  <si>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</si>
  <si>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</si>
  <si>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</si>
  <si>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</si>
  <si>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</si>
  <si>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</si>
  <si>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</si>
  <si>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</si>
  <si>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</si>
  <si>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</si>
  <si>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</si>
  <si>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</si>
  <si>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</si>
  <si>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</si>
  <si>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</si>
  <si>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</si>
  <si>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</si>
  <si>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</si>
  <si>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</si>
  <si>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</si>
  <si>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</si>
  <si>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</si>
  <si>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</si>
  <si>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</si>
  <si>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</si>
  <si>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</si>
  <si>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</si>
  <si>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</si>
  <si>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</si>
  <si>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</si>
  <si>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</si>
  <si>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</si>
  <si>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</si>
  <si>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</si>
  <si>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</si>
  <si>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</si>
  <si>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</si>
  <si>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</si>
  <si>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</si>
  <si>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</si>
  <si>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</si>
  <si>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</si>
  <si>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</si>
  <si>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</si>
  <si>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</si>
  <si>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</si>
  <si>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</si>
  <si>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</si>
  <si>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</si>
  <si>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</si>
  <si>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</si>
  <si>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</si>
  <si>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</si>
  <si>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</si>
  <si>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</si>
  <si>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</si>
  <si>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</si>
  <si>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</si>
  <si>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</si>
  <si>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</si>
  <si>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</si>
  <si>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</si>
  <si>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</si>
  <si>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</si>
  <si>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</si>
  <si>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</si>
  <si>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</si>
  <si>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</si>
  <si>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</si>
  <si>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</si>
  <si>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</si>
  <si>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</si>
  <si>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</si>
  <si>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</si>
  <si>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</si>
  <si>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</si>
  <si>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</si>
  <si>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</si>
  <si>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</si>
  <si>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</si>
  <si>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</si>
  <si>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</si>
  <si>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</si>
  <si>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</si>
  <si>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</si>
  <si>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</si>
  <si>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</si>
  <si>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</si>
  <si>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</si>
  <si>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</si>
  <si>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</si>
  <si>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</si>
  <si>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</si>
  <si>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</si>
  <si>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</si>
  <si>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</si>
  <si>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</si>
  <si>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</si>
  <si>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</si>
  <si>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</si>
  <si>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</si>
  <si>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</si>
  <si>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</si>
  <si>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</si>
  <si>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</si>
  <si>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</si>
  <si>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</si>
  <si>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</si>
  <si>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</si>
  <si>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</si>
  <si>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</si>
  <si>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</si>
  <si>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</si>
  <si>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</si>
  <si>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</si>
  <si>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</si>
  <si>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</si>
  <si>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</si>
  <si>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</si>
  <si>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</si>
  <si>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</si>
  <si>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</si>
  <si>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</si>
  <si>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</si>
  <si>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</si>
  <si>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</si>
  <si>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</si>
  <si>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</si>
  <si>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</si>
  <si>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</si>
  <si>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</si>
  <si>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</si>
  <si>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</si>
  <si>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</si>
  <si>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</si>
  <si>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</si>
  <si>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</si>
  <si>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</si>
  <si>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</si>
  <si>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</si>
  <si>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</si>
  <si>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</si>
  <si>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</si>
  <si>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</si>
  <si>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</si>
  <si>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</si>
  <si>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</si>
  <si>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</si>
  <si>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</si>
  <si>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</si>
  <si>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</si>
  <si>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</si>
  <si>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</si>
  <si>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</si>
  <si>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</si>
  <si>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</si>
  <si>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</si>
  <si>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</si>
  <si>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</si>
  <si>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</si>
  <si>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</si>
  <si>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</si>
  <si>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</si>
  <si>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</si>
  <si>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</si>
  <si>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</si>
  <si>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</si>
  <si>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</si>
  <si>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</si>
  <si>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</si>
  <si>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</si>
  <si>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</si>
  <si>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</si>
  <si>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</si>
  <si>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</si>
  <si>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</si>
  <si>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</si>
  <si>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</si>
  <si>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</si>
  <si>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</si>
  <si>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</si>
  <si>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</si>
  <si>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</si>
  <si>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</si>
  <si>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</si>
  <si>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</si>
  <si>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</si>
  <si>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</si>
  <si>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</si>
  <si>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</si>
  <si>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</si>
  <si>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</si>
  <si>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</si>
  <si>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</si>
  <si>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</si>
  <si>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</si>
  <si>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</si>
  <si>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</si>
  <si>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</si>
  <si>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</si>
  <si>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</si>
  <si>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</si>
  <si>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</si>
  <si>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</si>
  <si>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</si>
  <si>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</si>
  <si>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</si>
  <si>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</si>
  <si>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</si>
  <si>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</si>
  <si>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</si>
  <si>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</si>
  <si>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</si>
  <si>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</si>
  <si>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</si>
  <si>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</si>
  <si>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</si>
  <si>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</si>
  <si>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</si>
  <si>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</si>
  <si>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</si>
  <si>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</si>
  <si>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</si>
  <si>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</si>
  <si>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</si>
  <si>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</si>
  <si>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</si>
  <si>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</si>
  <si>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</si>
  <si>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</si>
  <si>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</si>
  <si>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</si>
  <si>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</si>
  <si>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</si>
  <si>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</si>
  <si>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</si>
  <si>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</si>
  <si>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</si>
  <si>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</si>
  <si>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</si>
  <si>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</si>
  <si>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</si>
  <si>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</si>
  <si>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</si>
  <si>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</si>
  <si>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</si>
  <si>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</si>
  <si>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</si>
  <si>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</si>
  <si>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</si>
  <si>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</si>
  <si>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</si>
  <si>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</si>
  <si>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</si>
  <si>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</si>
  <si>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</si>
  <si>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</si>
  <si>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</si>
  <si>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</si>
  <si>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</si>
  <si>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</si>
  <si>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</si>
  <si>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</si>
  <si>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</si>
  <si>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</si>
  <si>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</si>
  <si>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</si>
  <si>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</si>
  <si>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</si>
  <si>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</si>
  <si>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</si>
  <si>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</si>
  <si>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</si>
  <si>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</si>
  <si>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</si>
  <si>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</si>
  <si>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</si>
  <si>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</si>
  <si>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</si>
  <si>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</si>
  <si>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</si>
  <si>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</si>
  <si>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</si>
  <si>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</si>
  <si>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</si>
  <si>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</si>
  <si>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</si>
  <si>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</si>
  <si>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</si>
  <si>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</si>
  <si>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</si>
  <si>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</si>
  <si>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</si>
  <si>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</si>
  <si>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</si>
  <si>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</si>
  <si>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</si>
  <si>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</si>
  <si>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</si>
  <si>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</si>
  <si>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</si>
  <si>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</si>
  <si>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</si>
  <si>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</si>
  <si>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</si>
  <si>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</si>
  <si>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</si>
  <si>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</si>
  <si>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</si>
  <si>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</si>
  <si>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</si>
  <si>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</si>
  <si>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</si>
  <si>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</si>
  <si>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</si>
  <si>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</si>
  <si>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</si>
  <si>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</si>
  <si>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</si>
  <si>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</si>
  <si>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</si>
  <si>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</si>
  <si>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</si>
  <si>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</si>
  <si>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</si>
  <si>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</si>
  <si>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</si>
  <si>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</si>
  <si>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</si>
  <si>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</si>
  <si>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</si>
  <si>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</si>
  <si>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</si>
  <si>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</si>
  <si>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</si>
  <si>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</si>
  <si>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</si>
  <si>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</si>
  <si>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</si>
  <si>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</si>
  <si>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</si>
  <si>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</si>
  <si>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</si>
  <si>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</si>
  <si>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</si>
  <si>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</si>
  <si>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</si>
  <si>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</si>
  <si>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</si>
  <si>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</si>
  <si>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</si>
  <si>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</si>
  <si>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</si>
  <si>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</si>
  <si>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</si>
  <si>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</si>
  <si>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</si>
  <si>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</si>
  <si>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</si>
  <si>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</si>
  <si>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</si>
  <si>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</si>
  <si>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</si>
  <si>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</si>
  <si>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</si>
  <si>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</si>
  <si>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</si>
  <si>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</si>
  <si>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</si>
  <si>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</si>
  <si>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</si>
  <si>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</si>
  <si>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</si>
  <si>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</si>
  <si>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</si>
  <si>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</si>
  <si>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</si>
  <si>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</si>
  <si>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</si>
  <si>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</si>
  <si>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</si>
  <si>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</si>
  <si>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</si>
  <si>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</si>
  <si>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</si>
  <si>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</si>
  <si>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</si>
  <si>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</si>
  <si>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</si>
  <si>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</si>
  <si>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</si>
  <si>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</si>
  <si>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</si>
  <si>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</si>
  <si>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</si>
  <si>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</si>
  <si>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</si>
  <si>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</si>
  <si>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</si>
  <si>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</si>
  <si>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</si>
  <si>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</si>
  <si>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</si>
  <si>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</si>
  <si>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</si>
  <si>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</si>
  <si>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</si>
  <si>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</si>
  <si>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</si>
  <si>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</si>
  <si>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</si>
  <si>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</si>
  <si>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</si>
  <si>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</si>
  <si>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</si>
  <si>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</si>
  <si>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</si>
  <si>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</si>
  <si>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</si>
  <si>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</si>
  <si>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</si>
  <si>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</si>
  <si>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</si>
  <si>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</si>
  <si>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</si>
  <si>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</si>
  <si>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</si>
  <si>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</si>
  <si>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</si>
  <si>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</si>
  <si>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</si>
  <si>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</si>
  <si>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</si>
  <si>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</si>
  <si>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</si>
  <si>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</si>
  <si>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</si>
  <si>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</si>
  <si>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</si>
  <si>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</si>
  <si>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</si>
  <si>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</si>
  <si>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</si>
  <si>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</si>
  <si>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</si>
  <si>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</si>
  <si>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</si>
  <si>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</si>
  <si>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</si>
  <si>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</si>
  <si>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</si>
  <si>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</si>
  <si>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</si>
  <si>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</si>
  <si>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</si>
  <si>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</si>
  <si>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</si>
  <si>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</si>
  <si>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</si>
  <si>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</si>
  <si>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</si>
  <si>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</si>
  <si>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</si>
  <si>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</si>
  <si>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</si>
  <si>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</si>
  <si>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</si>
  <si>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</si>
  <si>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</si>
  <si>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</si>
  <si>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</si>
  <si>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</si>
  <si>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</si>
  <si>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</si>
  <si>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</si>
  <si>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</si>
  <si>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</si>
  <si>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</si>
  <si>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</si>
  <si>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</si>
  <si>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</si>
  <si>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</si>
  <si>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</si>
  <si>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</si>
  <si>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</si>
  <si>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</si>
  <si>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</si>
  <si>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</si>
  <si>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</si>
  <si>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</si>
  <si>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</si>
  <si>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</si>
  <si>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</si>
  <si>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</si>
  <si>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</si>
  <si>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</si>
  <si>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</si>
  <si>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</si>
  <si>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</si>
  <si>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</si>
  <si>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</si>
  <si>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</si>
  <si>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</si>
  <si>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</si>
  <si>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</si>
  <si>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</si>
  <si>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</si>
  <si>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</si>
  <si>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</si>
  <si>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</si>
  <si>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</si>
  <si>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</si>
  <si>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</si>
  <si>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</si>
  <si>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</si>
  <si>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</si>
  <si>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</si>
  <si>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</si>
  <si>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</si>
  <si>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</si>
  <si>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</si>
  <si>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</si>
  <si>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</si>
  <si>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</si>
  <si>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</si>
  <si>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</si>
  <si>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</si>
  <si>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</si>
  <si>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</si>
  <si>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</si>
  <si>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</si>
  <si>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</si>
  <si>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</si>
  <si>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</si>
  <si>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</si>
  <si>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</si>
  <si>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</si>
  <si>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</si>
  <si>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</si>
  <si>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</si>
  <si>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</si>
  <si>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</si>
  <si>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</si>
  <si>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</si>
  <si>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</si>
  <si>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</si>
  <si>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</si>
  <si>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</si>
  <si>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</si>
  <si>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</si>
  <si>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</si>
  <si>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</si>
  <si>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</si>
  <si>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</si>
  <si>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</si>
  <si>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</si>
  <si>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</si>
  <si>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</si>
  <si>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</si>
  <si>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</si>
  <si>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</si>
  <si>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</si>
  <si>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</si>
  <si>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</si>
  <si>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</si>
  <si>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</si>
  <si>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</si>
  <si>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</si>
  <si>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</si>
  <si>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</si>
  <si>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</si>
  <si>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</si>
  <si>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</si>
  <si>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</si>
  <si>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</si>
  <si>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</si>
  <si>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</si>
  <si>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</si>
  <si>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</si>
  <si>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</si>
  <si>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</si>
  <si>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</si>
  <si>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</si>
  <si>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</si>
  <si>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</si>
  <si>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</si>
  <si>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</si>
  <si>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</si>
  <si>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</si>
  <si>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</si>
  <si>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</si>
  <si>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</si>
  <si>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</si>
  <si>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</si>
  <si>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</si>
  <si>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</si>
  <si>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</si>
  <si>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</si>
  <si>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</si>
  <si>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</si>
  <si>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</si>
  <si>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</si>
  <si>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</si>
  <si>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</si>
  <si>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</si>
  <si>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</si>
  <si>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</si>
  <si>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</si>
  <si>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</si>
  <si>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</si>
  <si>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</si>
  <si>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</si>
  <si>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</si>
  <si>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</si>
  <si>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</si>
  <si>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</si>
  <si>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</si>
  <si>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</si>
  <si>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</si>
  <si>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</si>
  <si>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</si>
  <si>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</si>
  <si>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</si>
  <si>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</si>
  <si>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</si>
  <si>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</si>
  <si>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</si>
  <si>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</si>
  <si>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</si>
  <si>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</si>
  <si>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</si>
  <si>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</si>
  <si>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</si>
  <si>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</si>
  <si>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</si>
  <si>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</si>
  <si>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</si>
  <si>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</si>
  <si>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</si>
  <si>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</si>
  <si>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</si>
  <si>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</si>
  <si>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</si>
  <si>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</si>
  <si>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</si>
  <si>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</si>
  <si>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</si>
  <si>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</si>
  <si>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</si>
  <si>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</si>
  <si>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</si>
  <si>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</si>
  <si>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</si>
  <si>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</si>
  <si>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</si>
  <si>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</si>
  <si>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</si>
  <si>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</si>
  <si>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</si>
  <si>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</si>
  <si>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</si>
  <si>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</si>
  <si>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</si>
  <si>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</si>
  <si>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</si>
  <si>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</si>
  <si>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</si>
  <si>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</si>
  <si>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</si>
  <si>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</si>
  <si>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</si>
  <si>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</si>
  <si>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</si>
  <si>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</si>
  <si>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</si>
  <si>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</si>
  <si>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</si>
  <si>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</si>
  <si>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</si>
  <si>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</si>
  <si>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</si>
  <si>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</si>
  <si>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</si>
  <si>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</si>
  <si>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</si>
  <si>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</si>
  <si>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</si>
  <si>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</si>
  <si>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</si>
  <si>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</si>
  <si>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</si>
  <si>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</si>
  <si>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</si>
  <si>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</si>
  <si>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</si>
  <si>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</si>
  <si>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</si>
  <si>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</si>
  <si>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</si>
  <si>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</si>
  <si>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</si>
  <si>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</si>
  <si>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</si>
  <si>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</si>
  <si>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</si>
  <si>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</si>
  <si>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</si>
  <si>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</si>
  <si>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</si>
  <si>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</si>
  <si>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</si>
  <si>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</si>
  <si>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</si>
  <si>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</si>
  <si>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</si>
  <si>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</si>
  <si>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</si>
  <si>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</si>
  <si>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</si>
  <si>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</si>
  <si>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</si>
  <si>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</si>
  <si>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</si>
  <si>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</si>
  <si>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</si>
  <si>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</si>
  <si>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</si>
  <si>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</si>
  <si>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</si>
  <si>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</si>
  <si>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</si>
  <si>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</si>
  <si>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</si>
  <si>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</si>
  <si>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</si>
  <si>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</si>
  <si>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</si>
  <si>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</si>
  <si>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</si>
  <si>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</si>
  <si>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</si>
  <si>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</si>
  <si>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</si>
  <si>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</si>
  <si>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</si>
  <si>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</si>
  <si>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</si>
  <si>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</si>
  <si>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</si>
  <si>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</si>
  <si>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</si>
  <si>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</si>
  <si>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</si>
  <si>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</si>
  <si>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</si>
  <si>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</si>
  <si>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</si>
  <si>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</si>
  <si>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</si>
  <si>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</si>
  <si>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</si>
  <si>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</si>
  <si>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</si>
  <si>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</si>
  <si>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</si>
  <si>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</si>
  <si>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</si>
  <si>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</si>
  <si>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</si>
  <si>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</si>
  <si>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</si>
  <si>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</si>
  <si>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</si>
  <si>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</si>
  <si>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</si>
  <si>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</si>
  <si>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</si>
  <si>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</si>
  <si>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</si>
  <si>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</si>
  <si>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</si>
  <si>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</si>
  <si>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</si>
  <si>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</si>
  <si>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</si>
  <si>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</si>
  <si>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</si>
  <si>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</si>
  <si>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</si>
  <si>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</si>
  <si>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</si>
  <si>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</si>
  <si>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</si>
  <si>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</si>
  <si>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</si>
  <si>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</si>
  <si>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</si>
  <si>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</si>
  <si>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</si>
  <si>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</si>
  <si>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</si>
  <si>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</si>
  <si>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</si>
  <si>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</si>
  <si>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</si>
  <si>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</si>
  <si>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</si>
  <si>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</si>
  <si>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</si>
  <si>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</si>
  <si>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</si>
  <si>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</si>
  <si>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</si>
  <si>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</si>
  <si>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</si>
  <si>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</si>
  <si>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</si>
  <si>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</si>
  <si>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</si>
  <si>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</si>
  <si>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</si>
  <si>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</si>
  <si>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</si>
  <si>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</si>
  <si>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</si>
  <si>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</si>
  <si>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</si>
  <si>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</si>
  <si>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</si>
  <si>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</si>
  <si>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</si>
  <si>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</si>
  <si>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</si>
  <si>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</si>
  <si>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</si>
  <si>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</si>
  <si>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</si>
  <si>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</si>
  <si>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</si>
  <si>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</si>
  <si>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</si>
  <si>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</si>
  <si>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</si>
  <si>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</si>
  <si>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</si>
  <si>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</si>
  <si>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</si>
  <si>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</si>
  <si>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</si>
  <si>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</si>
  <si>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</si>
  <si>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</si>
  <si>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</si>
  <si>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</si>
  <si>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</si>
  <si>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</si>
  <si>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</si>
  <si>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</si>
  <si>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</si>
  <si>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</si>
  <si>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</si>
  <si>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</si>
  <si>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</si>
  <si>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</si>
  <si>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</si>
  <si>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</si>
  <si>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</si>
  <si>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</si>
  <si>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</si>
  <si>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</si>
  <si>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</si>
  <si>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</si>
  <si>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</si>
  <si>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</si>
  <si>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</si>
  <si>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</si>
  <si>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</si>
  <si>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</si>
  <si>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</si>
  <si>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</si>
  <si>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</si>
  <si>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</si>
  <si>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</si>
  <si>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</si>
  <si>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</si>
  <si>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</si>
  <si>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</si>
  <si>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</si>
  <si>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</si>
  <si>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</si>
  <si>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</si>
  <si>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</si>
  <si>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</si>
  <si>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</si>
  <si>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</si>
  <si>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</si>
  <si>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</si>
  <si>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</si>
  <si>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</si>
  <si>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</si>
  <si>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</si>
  <si>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</si>
  <si>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</si>
  <si>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</si>
  <si>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</si>
  <si>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</si>
  <si>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</si>
  <si>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</si>
  <si>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</si>
  <si>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</si>
  <si>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</si>
  <si>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</si>
  <si>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</si>
  <si>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</si>
  <si>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</si>
  <si>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</si>
  <si>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</si>
  <si>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</si>
  <si>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</si>
  <si>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</si>
  <si>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</si>
  <si>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</si>
  <si>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</si>
  <si>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</si>
  <si>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</si>
  <si>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</si>
  <si>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</si>
  <si>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</si>
  <si>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</si>
  <si>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</si>
  <si>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</si>
  <si>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</si>
  <si>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</si>
  <si>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</si>
  <si>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</si>
  <si>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</si>
  <si>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</si>
  <si>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</si>
  <si>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</si>
  <si>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</si>
  <si>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</si>
  <si>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</si>
  <si>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</si>
  <si>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</si>
  <si>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</si>
  <si>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</si>
  <si>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</si>
  <si>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</si>
  <si>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</si>
  <si>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</si>
  <si>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</si>
  <si>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</si>
  <si>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</si>
  <si>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</si>
  <si>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</si>
  <si>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</si>
  <si>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</si>
  <si>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</si>
  <si>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</si>
  <si>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</si>
  <si>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</si>
  <si>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</si>
  <si>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</si>
  <si>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</si>
  <si>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</si>
  <si>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</si>
  <si>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</si>
  <si>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</si>
  <si>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</si>
  <si>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</si>
  <si>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</si>
  <si>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</si>
  <si>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</si>
  <si>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</si>
  <si>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</si>
  <si>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</si>
  <si>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</si>
  <si>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</si>
  <si>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</si>
  <si>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</si>
  <si>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</si>
  <si>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</si>
  <si>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</si>
  <si>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</si>
  <si>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</si>
  <si>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</si>
  <si>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</si>
  <si>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</si>
  <si>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</si>
  <si>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</si>
  <si>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</si>
  <si>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</si>
  <si>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</si>
  <si>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</si>
  <si>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</si>
  <si>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</si>
  <si>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</si>
  <si>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</si>
  <si>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</si>
  <si>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</si>
  <si>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</si>
  <si>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</si>
  <si>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</si>
  <si>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</si>
  <si>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</si>
  <si>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</si>
  <si>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</si>
  <si>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</si>
  <si>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</si>
  <si>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</si>
  <si>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</si>
  <si>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</si>
  <si>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</si>
  <si>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</si>
  <si>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</si>
  <si>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</si>
  <si>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</si>
  <si>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</si>
  <si>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</si>
  <si>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</si>
  <si>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</si>
  <si>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</si>
  <si>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</si>
  <si>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</si>
  <si>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</si>
  <si>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</si>
  <si>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</si>
  <si>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</si>
  <si>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</si>
  <si>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</si>
  <si>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</si>
  <si>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</si>
  <si>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</si>
  <si>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</si>
  <si>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</si>
  <si>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</si>
  <si>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</si>
  <si>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</si>
  <si>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</si>
  <si>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</si>
  <si>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</si>
  <si>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</si>
  <si>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</si>
  <si>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</si>
  <si>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</si>
  <si>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</si>
  <si>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</si>
  <si>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</si>
  <si>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</si>
  <si>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</si>
  <si>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</si>
  <si>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</si>
  <si>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</si>
  <si>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</si>
  <si>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</si>
  <si>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</si>
  <si>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</si>
  <si>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</si>
  <si>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</si>
  <si>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</si>
  <si>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</si>
  <si>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</si>
  <si>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</si>
  <si>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</si>
  <si>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</si>
  <si>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</si>
  <si>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</si>
  <si>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</si>
  <si>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</si>
  <si>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</si>
  <si>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</si>
  <si>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</si>
  <si>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</si>
  <si>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</si>
  <si>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</si>
  <si>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</si>
  <si>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</si>
  <si>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</si>
  <si>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</si>
  <si>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</si>
  <si>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</si>
  <si>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</si>
  <si>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</si>
  <si>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</si>
  <si>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</si>
  <si>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</si>
  <si>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</si>
  <si>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</si>
  <si>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</si>
  <si>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</si>
  <si>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</si>
  <si>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</si>
  <si>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</si>
  <si>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</si>
  <si>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</si>
  <si>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</si>
  <si>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</si>
  <si>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</si>
  <si>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</si>
  <si>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</si>
  <si>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</si>
  <si>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</si>
  <si>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</si>
  <si>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</si>
  <si>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</si>
  <si>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</si>
  <si>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</si>
  <si>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</si>
  <si>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</si>
  <si>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</si>
  <si>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</si>
  <si>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</si>
  <si>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</si>
  <si>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</si>
  <si>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</si>
  <si>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</si>
  <si>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</si>
  <si>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</si>
  <si>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</si>
  <si>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</si>
  <si>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</si>
  <si>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</si>
  <si>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</si>
  <si>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</si>
  <si>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</si>
  <si>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</si>
  <si>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</si>
  <si>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</si>
  <si>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</si>
  <si>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</si>
  <si>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</si>
  <si>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</si>
  <si>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</si>
  <si>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</si>
  <si>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</si>
  <si>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</si>
  <si>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</si>
  <si>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</si>
  <si>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</si>
  <si>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</si>
  <si>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</si>
  <si>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</si>
  <si>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</si>
  <si>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</si>
  <si>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</si>
  <si>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</si>
  <si>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</si>
  <si>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</si>
  <si>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</si>
  <si>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</si>
  <si>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</si>
  <si>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</si>
  <si>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</si>
  <si>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</si>
  <si>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</si>
  <si>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</si>
  <si>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</si>
  <si>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</si>
  <si>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</si>
  <si>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</si>
  <si>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</si>
  <si>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</si>
  <si>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</si>
  <si>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</si>
  <si>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</si>
  <si>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</si>
  <si>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</si>
  <si>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</si>
  <si>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</si>
  <si>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</si>
  <si>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</si>
  <si>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</si>
  <si>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</si>
  <si>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</si>
  <si>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</si>
  <si>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</si>
  <si>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</si>
  <si>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</si>
  <si>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</si>
  <si>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</si>
  <si>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</si>
  <si>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</si>
  <si>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</si>
  <si>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</si>
  <si>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</si>
  <si>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</si>
  <si>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</si>
  <si>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</si>
  <si>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</si>
  <si>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</si>
  <si>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</si>
  <si>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</si>
  <si>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</si>
  <si>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</si>
  <si>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</si>
  <si>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</si>
  <si>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</si>
  <si>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</si>
  <si>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</si>
  <si>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</si>
  <si>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</si>
  <si>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</si>
  <si>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</si>
  <si>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</si>
  <si>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</si>
  <si>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</si>
  <si>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</si>
  <si>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</si>
  <si>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</si>
  <si>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</si>
  <si>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</si>
  <si>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</si>
  <si>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</si>
  <si>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</si>
  <si>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</si>
  <si>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</si>
  <si>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</si>
  <si>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</si>
  <si>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</si>
  <si>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</si>
  <si>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</si>
  <si>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</si>
  <si>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</si>
  <si>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</si>
  <si>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</si>
  <si>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</si>
  <si>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</si>
  <si>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</si>
  <si>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</si>
  <si>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</si>
  <si>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</si>
  <si>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</si>
  <si>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</si>
  <si>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</si>
  <si>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</si>
  <si>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</si>
  <si>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</si>
  <si>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</si>
  <si>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</si>
  <si>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</si>
  <si>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</si>
  <si>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</si>
  <si>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</si>
  <si>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</si>
  <si>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</si>
  <si>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</si>
  <si>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</si>
  <si>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</si>
  <si>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</si>
  <si>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</si>
  <si>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</si>
  <si>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</si>
  <si>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</si>
  <si>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</si>
  <si>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</si>
  <si>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</si>
  <si>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</si>
  <si>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</si>
  <si>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</si>
  <si>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</si>
  <si>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</si>
  <si>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</si>
  <si>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</si>
  <si>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</si>
  <si>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</si>
  <si>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</si>
  <si>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</si>
  <si>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</si>
  <si>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</si>
  <si>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</si>
  <si>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</si>
  <si>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</si>
  <si>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</si>
  <si>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</si>
  <si>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</si>
  <si>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</si>
  <si>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</si>
  <si>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</si>
  <si>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</si>
  <si>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</si>
  <si>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</si>
  <si>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</si>
  <si>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</si>
  <si>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</si>
  <si>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</si>
  <si>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</si>
  <si>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</si>
  <si>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</si>
  <si>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</si>
  <si>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</si>
  <si>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</si>
  <si>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</si>
  <si>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</si>
  <si>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</si>
  <si>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</si>
  <si>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</si>
  <si>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</si>
  <si>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</si>
  <si>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</si>
  <si>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</si>
  <si>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</si>
  <si>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</si>
  <si>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</si>
  <si>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</si>
  <si>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</si>
  <si>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</si>
  <si>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</si>
  <si>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</si>
  <si>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</si>
  <si>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</si>
  <si>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</si>
  <si>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</si>
  <si>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</si>
  <si>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</si>
  <si>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</si>
  <si>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</si>
  <si>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</si>
  <si>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</si>
  <si>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</si>
  <si>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</si>
  <si>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</si>
  <si>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</si>
  <si>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</si>
  <si>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</si>
  <si>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</si>
  <si>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</si>
  <si>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</si>
  <si>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</si>
  <si>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</si>
  <si>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</si>
  <si>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</si>
  <si>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</si>
  <si>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</si>
  <si>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</si>
  <si>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</si>
  <si>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</si>
  <si>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</si>
  <si>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</si>
  <si>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</si>
  <si>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</si>
  <si>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</si>
  <si>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</si>
  <si>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</si>
  <si>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</si>
  <si>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</si>
  <si>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</si>
  <si>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</si>
  <si>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</si>
  <si>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</si>
  <si>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</si>
  <si>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</si>
  <si>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</si>
  <si>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</si>
  <si>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</si>
  <si>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</si>
  <si>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</si>
  <si>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</si>
  <si>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</si>
  <si>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</si>
  <si>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</si>
  <si>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</si>
  <si>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</si>
  <si>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</si>
  <si>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</si>
  <si>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</si>
  <si>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</si>
  <si>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</si>
  <si>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</si>
  <si>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</si>
  <si>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</si>
  <si>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</si>
  <si>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</si>
  <si>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</si>
  <si>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</si>
  <si>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</si>
  <si>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</si>
  <si>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</si>
  <si>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</si>
  <si>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</si>
  <si>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</si>
  <si>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</si>
  <si>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</si>
  <si>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</si>
  <si>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</si>
  <si>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</si>
  <si>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</si>
  <si>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</si>
  <si>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</si>
  <si>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</si>
  <si>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</si>
  <si>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</si>
  <si>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</si>
  <si>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</si>
  <si>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</si>
  <si>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</si>
  <si>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</si>
  <si>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</si>
  <si>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</si>
  <si>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</si>
  <si>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</si>
  <si>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</si>
  <si>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</si>
  <si>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</si>
  <si>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</si>
  <si>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</si>
  <si>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</si>
  <si>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</si>
  <si>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</si>
  <si>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</si>
  <si>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</si>
  <si>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</si>
  <si>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</si>
  <si>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</si>
  <si>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</si>
  <si>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</si>
  <si>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</si>
  <si>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</si>
  <si>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</si>
  <si>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</si>
  <si>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</si>
  <si>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</si>
  <si>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</si>
  <si>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</si>
  <si>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</si>
  <si>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</si>
  <si>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</si>
  <si>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</si>
  <si>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</si>
  <si>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</si>
  <si>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</si>
  <si>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</si>
  <si>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</si>
  <si>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</si>
  <si>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</si>
  <si>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</si>
  <si>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</si>
  <si>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</si>
  <si>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</si>
  <si>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</si>
  <si>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</si>
  <si>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</si>
  <si>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</si>
  <si>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</si>
  <si>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</si>
  <si>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</si>
  <si>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</si>
  <si>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</si>
  <si>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</si>
  <si>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</si>
  <si>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</si>
  <si>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</si>
  <si>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</si>
  <si>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</si>
  <si>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</si>
  <si>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</si>
  <si>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</si>
  <si>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</si>
  <si>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</si>
  <si>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</si>
  <si>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</si>
  <si>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</si>
  <si>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</si>
  <si>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</si>
  <si>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</si>
  <si>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</si>
  <si>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</si>
  <si>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</si>
  <si>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</si>
  <si>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</si>
  <si>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</si>
  <si>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</si>
  <si>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</si>
  <si>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</si>
  <si>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</si>
  <si>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</si>
  <si>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</si>
  <si>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</si>
  <si>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</si>
  <si>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</si>
  <si>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</si>
  <si>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</si>
  <si>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</si>
  <si>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</si>
  <si>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</si>
  <si>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</si>
  <si>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</si>
  <si>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</si>
  <si>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</si>
  <si>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</si>
  <si>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</si>
  <si>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</si>
  <si>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</si>
  <si>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</si>
  <si>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</si>
  <si>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</si>
  <si>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</si>
  <si>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</si>
  <si>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</si>
  <si>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</si>
  <si>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</si>
  <si>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</si>
  <si>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</si>
  <si>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</si>
  <si>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</si>
  <si>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</si>
  <si>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</si>
  <si>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</si>
  <si>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</si>
  <si>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</si>
  <si>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</si>
  <si>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</si>
  <si>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</si>
  <si>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</si>
  <si>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</si>
  <si>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</si>
  <si>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</si>
  <si>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</si>
  <si>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</si>
  <si>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</si>
  <si>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</si>
  <si>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</si>
  <si>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</si>
  <si>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</si>
  <si>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</si>
  <si>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</si>
  <si>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</si>
  <si>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</si>
  <si>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</si>
  <si>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</si>
  <si>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</si>
  <si>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</si>
  <si>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</si>
  <si>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</si>
  <si>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</si>
  <si>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</si>
  <si>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</si>
  <si>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</si>
  <si>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</si>
  <si>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</si>
  <si>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</si>
  <si>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</si>
  <si>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</si>
  <si>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</si>
  <si>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</si>
  <si>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</si>
  <si>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</si>
  <si>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</si>
  <si>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</si>
  <si>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</si>
  <si>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</si>
  <si>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</si>
  <si>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</si>
  <si>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</si>
  <si>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</si>
  <si>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</si>
  <si>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</si>
  <si>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</si>
  <si>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</si>
  <si>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</si>
  <si>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</si>
  <si>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</si>
  <si>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</si>
  <si>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</si>
  <si>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</si>
  <si>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</si>
  <si>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</si>
  <si>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</si>
  <si>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</si>
  <si>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</si>
  <si>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</si>
  <si>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</si>
  <si>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</si>
  <si>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</si>
  <si>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</si>
  <si>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</si>
  <si>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</si>
  <si>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</si>
  <si>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</si>
  <si>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</si>
  <si>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</si>
  <si>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</si>
  <si>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</si>
  <si>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</si>
  <si>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</si>
  <si>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</si>
  <si>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</si>
  <si>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</si>
  <si>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</si>
  <si>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</si>
  <si>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</si>
  <si>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</si>
  <si>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</si>
  <si>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</si>
  <si>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</si>
  <si>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</si>
  <si>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</si>
  <si>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</si>
  <si>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</si>
  <si>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</si>
  <si>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</si>
  <si>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</si>
  <si>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</si>
  <si>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</si>
  <si>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</si>
  <si>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</si>
  <si>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</si>
  <si>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</si>
  <si>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</si>
  <si>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</si>
  <si>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</si>
  <si>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</si>
  <si>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</si>
  <si>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</si>
  <si>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</si>
  <si>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</si>
  <si>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</si>
  <si>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</si>
  <si>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</si>
  <si>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</si>
  <si>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</si>
  <si>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</si>
  <si>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</si>
  <si>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</si>
  <si>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</si>
  <si>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</si>
  <si>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</si>
  <si>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</si>
  <si>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</si>
  <si>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</si>
  <si>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</si>
  <si>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</si>
  <si>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</si>
  <si>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</si>
  <si>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</si>
  <si>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</si>
  <si>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</si>
  <si>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</si>
  <si>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</si>
  <si>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</si>
  <si>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</si>
  <si>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</si>
  <si>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</si>
  <si>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</si>
  <si>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</si>
  <si>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</si>
  <si>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</si>
  <si>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</si>
  <si>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</si>
  <si>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</si>
  <si>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</si>
  <si>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</si>
  <si>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</si>
  <si>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</si>
  <si>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</si>
  <si>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</si>
  <si>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</si>
  <si>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</si>
  <si>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</si>
  <si>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</si>
  <si>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</si>
  <si>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</si>
  <si>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</si>
  <si>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</si>
  <si>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</si>
  <si>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</si>
  <si>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</si>
  <si>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</si>
  <si>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</si>
  <si>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</si>
  <si>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</si>
  <si>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</si>
  <si>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</si>
  <si>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</si>
  <si>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</si>
  <si>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</si>
  <si>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</si>
  <si>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</si>
  <si>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</si>
  <si>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</si>
  <si>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</si>
  <si>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</si>
  <si>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</si>
  <si>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</si>
  <si>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</si>
  <si>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</si>
  <si>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</si>
  <si>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</si>
  <si>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</si>
  <si>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</si>
  <si>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</si>
  <si>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</si>
  <si>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</si>
  <si>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</si>
  <si>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</si>
  <si>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</si>
  <si>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</si>
  <si>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</si>
  <si>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</si>
  <si>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</si>
  <si>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</si>
  <si>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</si>
  <si>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</si>
  <si>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</si>
  <si>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</si>
  <si>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</si>
  <si>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</si>
  <si>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</si>
  <si>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</si>
  <si>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</si>
  <si>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</si>
  <si>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</si>
  <si>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</si>
  <si>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</si>
  <si>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</si>
  <si>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</si>
  <si>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</si>
  <si>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</si>
  <si>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</si>
  <si>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</si>
  <si>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</si>
  <si>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</si>
  <si>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</si>
  <si>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</si>
  <si>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</si>
  <si>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</si>
  <si>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</si>
  <si>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</si>
  <si>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</si>
  <si>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</si>
  <si>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</si>
  <si>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</si>
  <si>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</si>
  <si>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</si>
  <si>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</si>
  <si>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</si>
  <si>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</si>
  <si>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</si>
  <si>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</si>
  <si>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</si>
  <si>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</si>
  <si>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</si>
  <si>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</si>
  <si>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</si>
  <si>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</si>
  <si>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</si>
  <si>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</si>
  <si>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</si>
  <si>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</si>
  <si>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</si>
  <si>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</si>
  <si>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</si>
  <si>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</si>
  <si>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</si>
  <si>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</si>
  <si>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</si>
  <si>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</si>
  <si>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</si>
  <si>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</si>
  <si>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</si>
  <si>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</si>
  <si>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</si>
  <si>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</si>
  <si>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</si>
  <si>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</si>
  <si>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</si>
  <si>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</si>
  <si>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</si>
  <si>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</si>
  <si>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</si>
  <si>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</si>
  <si>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</si>
  <si>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</si>
  <si>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</si>
  <si>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</si>
  <si>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</si>
  <si>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</si>
  <si>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</si>
  <si>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</si>
  <si>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</si>
  <si>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</si>
  <si>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</si>
  <si>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</si>
  <si>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</si>
  <si>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</si>
  <si>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</si>
  <si>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</si>
  <si>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</si>
  <si>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</si>
  <si>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</si>
  <si>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</si>
  <si>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</si>
  <si>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</si>
  <si>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</si>
  <si>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</si>
  <si>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</si>
  <si>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</si>
  <si>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</si>
  <si>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</si>
  <si>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</si>
  <si>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</si>
  <si>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</si>
  <si>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</si>
  <si>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</si>
  <si>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</si>
  <si>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</si>
  <si>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</si>
  <si>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</si>
  <si>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</si>
  <si>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</si>
  <si>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</si>
  <si>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</si>
  <si>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</si>
  <si>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</si>
  <si>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</si>
  <si>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</si>
  <si>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</si>
  <si>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</si>
  <si>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</si>
  <si>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</si>
  <si>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</si>
  <si>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</si>
  <si>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</si>
  <si>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</si>
  <si>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</si>
  <si>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</si>
  <si>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</si>
  <si>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</si>
  <si>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</si>
  <si>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</si>
  <si>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</si>
  <si>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</si>
  <si>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</si>
  <si>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</si>
  <si>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</si>
  <si>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</si>
  <si>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</si>
  <si>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</si>
  <si>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</si>
  <si>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</si>
  <si>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</si>
  <si>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</si>
  <si>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</si>
  <si>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</si>
  <si>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</si>
  <si>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</si>
  <si>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</si>
  <si>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</si>
  <si>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</si>
  <si>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</si>
  <si>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</si>
  <si>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</si>
  <si>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</si>
  <si>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</si>
  <si>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</si>
  <si>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</si>
  <si>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</si>
  <si>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</si>
  <si>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</si>
  <si>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</si>
  <si>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</si>
  <si>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</si>
  <si>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</si>
  <si>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</si>
  <si>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</si>
  <si>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</si>
  <si>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</si>
  <si>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</si>
  <si>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</si>
  <si>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</si>
  <si>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</si>
  <si>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</si>
  <si>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</si>
  <si>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</si>
  <si>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</si>
  <si>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</si>
  <si>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</si>
  <si>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</si>
  <si>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</si>
  <si>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</si>
  <si>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</si>
  <si>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</si>
  <si>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</si>
  <si>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</si>
  <si>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</si>
  <si>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</si>
  <si>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</si>
  <si>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</si>
  <si>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</si>
  <si>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</si>
  <si>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</si>
  <si>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</si>
  <si>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</si>
  <si>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</si>
  <si>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</si>
  <si>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</si>
  <si>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</si>
  <si>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</si>
  <si>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</si>
  <si>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</si>
  <si>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</si>
  <si>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</si>
  <si>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</si>
  <si>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</si>
  <si>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</si>
  <si>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</si>
  <si>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</si>
  <si>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</si>
  <si>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</si>
  <si>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</si>
  <si>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</si>
  <si>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</si>
  <si>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</si>
  <si>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</si>
  <si>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</si>
  <si>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</si>
  <si>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</si>
  <si>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</si>
  <si>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</si>
  <si>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</si>
  <si>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</si>
  <si>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</si>
  <si>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</si>
  <si>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</si>
  <si>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</si>
  <si>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</si>
  <si>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</si>
  <si>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</si>
  <si>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</si>
  <si>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</si>
  <si>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</si>
  <si>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</si>
  <si>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</si>
  <si>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</si>
  <si>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</si>
  <si>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</si>
  <si>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</si>
  <si>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</si>
  <si>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</si>
  <si>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</si>
  <si>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</si>
  <si>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</si>
  <si>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</si>
  <si>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</si>
  <si>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</si>
  <si>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</si>
  <si>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</si>
  <si>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</si>
  <si>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</si>
  <si>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</si>
  <si>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</si>
  <si>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</si>
  <si>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</si>
  <si>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</si>
  <si>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</si>
  <si>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</si>
  <si>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</si>
  <si>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</si>
  <si>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</si>
  <si>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</si>
  <si>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</si>
  <si>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</si>
  <si>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</si>
  <si>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</si>
  <si>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</si>
  <si>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</si>
  <si>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</si>
  <si>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</si>
  <si>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</si>
  <si>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</si>
  <si>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</si>
  <si>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</si>
  <si>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</si>
  <si>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</si>
  <si>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</si>
  <si>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</si>
  <si>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</si>
  <si>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</si>
  <si>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</si>
  <si>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</si>
  <si>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</si>
  <si>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</si>
  <si>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</si>
  <si>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</si>
  <si>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</si>
  <si>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</si>
  <si>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</si>
  <si>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</si>
  <si>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</si>
  <si>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</si>
  <si>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</si>
  <si>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</si>
  <si>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</si>
  <si>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</si>
  <si>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</si>
  <si>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</si>
  <si>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</si>
  <si>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</si>
  <si>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</si>
  <si>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</si>
  <si>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</si>
  <si>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</si>
  <si>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</si>
  <si>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</si>
  <si>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</si>
  <si>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</si>
  <si>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</si>
  <si>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</si>
  <si>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</si>
  <si>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</si>
  <si>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</si>
  <si>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</si>
  <si>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</si>
  <si>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</si>
  <si>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</si>
  <si>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</si>
  <si>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</si>
  <si>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</si>
  <si>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</si>
  <si>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</si>
  <si>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</si>
  <si>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</si>
  <si>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</si>
  <si>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</si>
  <si>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</si>
  <si>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</si>
  <si>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</si>
  <si>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</si>
  <si>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</si>
  <si>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</si>
  <si>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</si>
  <si>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</si>
  <si>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</si>
  <si>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</si>
  <si>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</si>
  <si>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</si>
  <si>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</si>
  <si>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</si>
  <si>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</si>
  <si>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</si>
  <si>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</si>
  <si>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</si>
  <si>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</si>
  <si>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</si>
  <si>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</si>
  <si>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</si>
  <si>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</si>
  <si>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</si>
  <si>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</si>
  <si>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</si>
  <si>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</si>
  <si>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</si>
  <si>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</si>
  <si>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</si>
  <si>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</si>
  <si>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</si>
  <si>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</si>
  <si>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</si>
  <si>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</si>
  <si>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</si>
  <si>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</si>
  <si>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</si>
  <si>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</si>
  <si>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</si>
  <si>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</si>
  <si>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</si>
  <si>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</si>
  <si>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</si>
  <si>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</si>
  <si>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</si>
  <si>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</si>
  <si>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</si>
  <si>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</si>
  <si>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</si>
  <si>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</si>
  <si>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</si>
  <si>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</si>
  <si>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</si>
  <si>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</si>
  <si>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</si>
  <si>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</si>
  <si>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</si>
  <si>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</si>
  <si>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</si>
  <si>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</si>
  <si>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</si>
  <si>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</si>
  <si>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</si>
  <si>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</si>
  <si>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</si>
  <si>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</si>
  <si>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</si>
  <si>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</si>
  <si>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</si>
  <si>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</si>
  <si>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</si>
  <si>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</si>
  <si>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</si>
  <si>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</si>
  <si>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</si>
  <si>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</si>
  <si>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</si>
  <si>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</si>
  <si>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</si>
  <si>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</si>
  <si>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</si>
  <si>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</si>
  <si>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</si>
  <si>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</si>
  <si>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</si>
  <si>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</si>
  <si>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</si>
  <si>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</si>
  <si>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</si>
  <si>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</si>
  <si>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</si>
  <si>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</si>
  <si>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</si>
  <si>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</si>
  <si>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</si>
  <si>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</si>
  <si>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</si>
  <si>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</si>
  <si>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</si>
  <si>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</si>
  <si>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</si>
  <si>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</si>
  <si>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</si>
  <si>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</si>
  <si>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</si>
  <si>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</si>
  <si>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</si>
  <si>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</si>
  <si>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</si>
  <si>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</si>
  <si>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</si>
  <si>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</si>
  <si>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</si>
  <si>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</si>
  <si>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</si>
  <si>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</si>
  <si>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</si>
  <si>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</si>
  <si>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</si>
  <si>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</si>
  <si>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</si>
  <si>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</si>
  <si>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</si>
  <si>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</si>
  <si>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</si>
  <si>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</si>
  <si>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</si>
  <si>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</si>
  <si>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</si>
  <si>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</si>
  <si>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</si>
  <si>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</si>
  <si>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</si>
  <si>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</si>
  <si>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</si>
  <si>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</si>
  <si>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</si>
  <si>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</si>
  <si>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</si>
  <si>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</si>
  <si>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</si>
  <si>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</si>
  <si>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</si>
  <si>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</si>
  <si>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</si>
  <si>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</si>
  <si>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</si>
  <si>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</si>
  <si>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</si>
  <si>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</si>
  <si>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</si>
  <si>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</si>
  <si>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</si>
  <si>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</si>
  <si>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</si>
  <si>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</si>
  <si>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</si>
  <si>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</si>
  <si>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</si>
  <si>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</si>
  <si>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</si>
  <si>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</si>
  <si>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</si>
  <si>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</si>
  <si>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</si>
  <si>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</si>
  <si>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</si>
  <si>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</si>
  <si>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</si>
  <si>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</si>
  <si>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</si>
  <si>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</si>
  <si>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</si>
  <si>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</si>
  <si>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</si>
  <si>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</si>
  <si>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</si>
  <si>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</si>
  <si>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</si>
  <si>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</si>
  <si>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</si>
  <si>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</si>
  <si>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</si>
  <si>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</si>
  <si>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</si>
  <si>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</si>
  <si>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</si>
  <si>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</si>
  <si>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</si>
  <si>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</si>
  <si>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</si>
  <si>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</si>
  <si>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</si>
  <si>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</si>
  <si>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</si>
  <si>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</si>
  <si>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</si>
  <si>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</si>
  <si>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</si>
  <si>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</si>
  <si>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</si>
  <si>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</si>
  <si>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</si>
  <si>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</si>
  <si>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</si>
  <si>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</si>
  <si>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</si>
  <si>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</si>
  <si>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</si>
  <si>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</si>
  <si>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</si>
  <si>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</si>
  <si>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</si>
  <si>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</si>
  <si>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</si>
  <si>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</si>
  <si>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</si>
  <si>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</si>
  <si>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</si>
  <si>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</si>
  <si>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</si>
  <si>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</si>
  <si>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</si>
  <si>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</si>
  <si>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</si>
  <si>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</si>
  <si>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</si>
  <si>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</si>
  <si>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</si>
  <si>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</si>
  <si>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</si>
  <si>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</si>
  <si>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</si>
  <si>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</si>
  <si>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</si>
  <si>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</si>
  <si>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</si>
  <si>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</si>
  <si>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</si>
  <si>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</si>
  <si>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</si>
  <si>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</si>
  <si>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</si>
  <si>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</si>
  <si>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</si>
  <si>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</si>
  <si>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</si>
  <si>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</si>
  <si>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</si>
  <si>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</si>
  <si>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</si>
  <si>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</si>
  <si>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</si>
  <si>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</si>
  <si>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</si>
  <si>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</si>
  <si>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</si>
  <si>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</si>
  <si>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</si>
  <si>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</si>
  <si>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</si>
  <si>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</si>
  <si>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</si>
  <si>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</si>
  <si>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</si>
  <si>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</si>
  <si>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</si>
  <si>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</si>
  <si>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</si>
  <si>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</si>
  <si>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</si>
  <si>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</si>
  <si>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</si>
  <si>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</si>
  <si>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</si>
  <si>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</si>
  <si>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</si>
  <si>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</si>
  <si>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</si>
  <si>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</si>
  <si>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</si>
  <si>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</si>
  <si>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</si>
  <si>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</si>
  <si>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</si>
  <si>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</si>
  <si>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</si>
  <si>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</si>
  <si>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</si>
  <si>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</si>
  <si>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</si>
  <si>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</si>
  <si>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</si>
  <si>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</si>
  <si>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</si>
  <si>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</si>
  <si>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</si>
  <si>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</si>
  <si>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</si>
  <si>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</si>
  <si>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</si>
  <si>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</si>
  <si>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</si>
  <si>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</si>
  <si>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</si>
  <si>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</si>
  <si>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</si>
  <si>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</si>
  <si>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</si>
  <si>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</si>
  <si>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</si>
  <si>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</si>
  <si>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</si>
  <si>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</si>
  <si>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</si>
  <si>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</si>
  <si>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</si>
  <si>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</si>
  <si>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</si>
  <si>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</si>
  <si>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</si>
  <si>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</si>
  <si>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</si>
  <si>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</si>
  <si>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</si>
  <si>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</si>
  <si>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</si>
  <si>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</si>
  <si>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</si>
  <si>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</si>
  <si>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</si>
  <si>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</si>
  <si>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</si>
  <si>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</si>
  <si>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</si>
  <si>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</si>
  <si>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</si>
  <si>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</si>
  <si>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</si>
  <si>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</si>
  <si>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</si>
  <si>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</si>
  <si>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</si>
  <si>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</si>
  <si>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</si>
  <si>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</si>
  <si>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</si>
  <si>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</si>
  <si>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</si>
  <si>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</si>
  <si>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</si>
  <si>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</si>
  <si>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</si>
  <si>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</si>
  <si>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</si>
  <si>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</si>
  <si>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</si>
  <si>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</si>
  <si>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</si>
  <si>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</si>
  <si>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</si>
  <si>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</si>
  <si>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</si>
  <si>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</si>
  <si>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</si>
  <si>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</si>
  <si>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</si>
  <si>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</si>
  <si>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</si>
  <si>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</si>
  <si>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</si>
  <si>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</si>
  <si>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</si>
  <si>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</si>
  <si>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</si>
  <si>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</si>
  <si>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</si>
  <si>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</si>
  <si>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</si>
  <si>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</si>
  <si>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</si>
  <si>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</si>
  <si>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</si>
  <si>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</si>
  <si>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</si>
  <si>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</si>
  <si>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</si>
  <si>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</si>
  <si>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</si>
  <si>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</si>
  <si>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</si>
  <si>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</si>
  <si>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</si>
  <si>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</si>
  <si>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</si>
  <si>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</si>
  <si>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</si>
  <si>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</si>
  <si>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</si>
  <si>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</si>
  <si>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</si>
  <si>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</si>
  <si>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</si>
  <si>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</si>
  <si>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</si>
  <si>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</si>
  <si>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</si>
  <si>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</si>
  <si>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</si>
  <si>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</si>
  <si>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</si>
  <si>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</si>
  <si>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</si>
  <si>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</si>
  <si>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</si>
  <si>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</si>
  <si>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</si>
  <si>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</si>
  <si>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</si>
  <si>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</si>
  <si>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</si>
  <si>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</si>
  <si>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</si>
  <si>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</si>
  <si>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</si>
  <si>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</si>
  <si>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</si>
  <si>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</si>
  <si>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</si>
  <si>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</si>
  <si>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</si>
  <si>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</si>
  <si>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</si>
  <si>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</si>
  <si>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</si>
  <si>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</si>
  <si>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</si>
  <si>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</si>
  <si>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</si>
  <si>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</si>
  <si>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</si>
  <si>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</si>
  <si>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</si>
  <si>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</si>
  <si>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</si>
  <si>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</si>
  <si>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</si>
  <si>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</si>
  <si>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</si>
  <si>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</si>
  <si>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</si>
  <si>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</si>
  <si>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</si>
  <si>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</si>
  <si>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</si>
  <si>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</si>
  <si>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</si>
  <si>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</si>
  <si>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</si>
  <si>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</si>
  <si>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</si>
  <si>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</si>
  <si>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</si>
  <si>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</si>
  <si>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</si>
  <si>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</si>
  <si>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</si>
  <si>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</si>
  <si>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</si>
  <si>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</si>
  <si>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</si>
  <si>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</si>
  <si>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</si>
  <si>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</si>
  <si>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</si>
  <si>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</si>
  <si>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</si>
  <si>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</si>
  <si>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</si>
  <si>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</si>
  <si>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</si>
  <si>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</si>
  <si>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</si>
  <si>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</si>
  <si>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</si>
  <si>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</si>
  <si>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</si>
  <si>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</si>
  <si>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</si>
  <si>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</si>
  <si>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</si>
  <si>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</si>
  <si>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</si>
  <si>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</si>
  <si>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</si>
  <si>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</si>
  <si>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</si>
  <si>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</si>
  <si>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</si>
  <si>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</si>
  <si>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</si>
  <si>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</si>
  <si>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</si>
  <si>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</si>
  <si>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</si>
  <si>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</si>
  <si>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</si>
  <si>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</si>
  <si>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</si>
  <si>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</si>
  <si>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</si>
  <si>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</si>
  <si>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</si>
  <si>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</si>
  <si>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</si>
  <si>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</si>
  <si>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</si>
  <si>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</si>
  <si>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</si>
  <si>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</si>
  <si>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</si>
  <si>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</si>
  <si>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</si>
  <si>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</si>
  <si>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</si>
  <si>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</si>
  <si>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</si>
  <si>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</si>
  <si>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</si>
  <si>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</si>
  <si>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</si>
  <si>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</si>
  <si>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</si>
  <si>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</si>
  <si>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</si>
  <si>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</si>
  <si>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</si>
  <si>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</si>
  <si>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</si>
  <si>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</si>
  <si>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</si>
  <si>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</si>
  <si>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</si>
  <si>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</si>
  <si>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</si>
  <si>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</si>
  <si>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</si>
  <si>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</si>
  <si>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</si>
  <si>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</si>
  <si>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</si>
  <si>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</si>
  <si>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</si>
  <si>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</si>
  <si>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</si>
  <si>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</si>
  <si>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</si>
  <si>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</si>
  <si>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</si>
  <si>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</si>
  <si>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</si>
  <si>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</si>
  <si>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</si>
  <si>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</si>
  <si>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</si>
  <si>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</si>
  <si>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</si>
  <si>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</si>
  <si>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</si>
  <si>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</si>
  <si>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</si>
  <si>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</si>
  <si>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</si>
  <si>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</si>
  <si>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</si>
  <si>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</si>
  <si>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</si>
  <si>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</si>
  <si>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</si>
  <si>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</si>
  <si>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</si>
  <si>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</si>
  <si>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</si>
  <si>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</si>
  <si>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</si>
  <si>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</si>
  <si>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</si>
  <si>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</si>
  <si>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</si>
  <si>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</si>
  <si>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</si>
  <si>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</si>
  <si>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</si>
  <si>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</si>
  <si>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</si>
  <si>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</si>
  <si>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</si>
  <si>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</si>
  <si>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</si>
  <si>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</si>
  <si>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</si>
  <si>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</si>
  <si>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</si>
  <si>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</si>
  <si>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</si>
  <si>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</si>
  <si>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</si>
  <si>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</si>
  <si>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</si>
  <si>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</si>
  <si>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</si>
  <si>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</si>
  <si>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</si>
  <si>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</si>
  <si>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</si>
  <si>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</si>
  <si>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</si>
  <si>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</si>
  <si>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</si>
  <si>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</si>
  <si>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</si>
  <si>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</si>
  <si>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</si>
  <si>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</si>
  <si>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</si>
  <si>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</si>
  <si>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</si>
  <si>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</si>
  <si>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</si>
  <si>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</si>
  <si>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</si>
  <si>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</si>
  <si>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</si>
  <si>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</si>
  <si>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</si>
  <si>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</si>
  <si>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</si>
  <si>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</si>
  <si>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</si>
  <si>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</si>
  <si>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</si>
  <si>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</si>
  <si>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</si>
  <si>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</si>
  <si>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</si>
  <si>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</si>
  <si>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</si>
  <si>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</si>
  <si>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</si>
  <si>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</si>
  <si>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</si>
  <si>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</si>
  <si>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</si>
  <si>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</si>
  <si>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</si>
  <si>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</si>
  <si>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</si>
  <si>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</si>
  <si>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</si>
  <si>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</si>
  <si>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</si>
  <si>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</si>
  <si>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</si>
  <si>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</si>
  <si>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</si>
  <si>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</si>
  <si>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</si>
  <si>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</si>
  <si>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</si>
  <si>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</si>
  <si>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</si>
  <si>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</si>
  <si>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</si>
  <si>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</si>
  <si>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</si>
  <si>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</si>
  <si>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</si>
  <si>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</si>
  <si>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</si>
  <si>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</si>
  <si>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</si>
  <si>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</si>
  <si>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</si>
  <si>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</si>
  <si>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</si>
  <si>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</si>
  <si>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</si>
  <si>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</si>
  <si>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</si>
  <si>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</si>
  <si>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</si>
  <si>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</si>
  <si>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</si>
  <si>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</si>
  <si>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</si>
  <si>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</si>
  <si>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</si>
  <si>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</si>
  <si>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</si>
  <si>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</si>
  <si>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</si>
  <si>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</si>
  <si>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</si>
  <si>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</si>
  <si>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</si>
  <si>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</si>
  <si>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</si>
  <si>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</si>
  <si>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</si>
  <si>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</si>
  <si>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</si>
  <si>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</si>
  <si>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</si>
  <si>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</si>
  <si>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</si>
  <si>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</si>
  <si>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</si>
  <si>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</si>
  <si>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</si>
  <si>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</si>
  <si>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</si>
  <si>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</si>
  <si>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</si>
  <si>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</si>
  <si>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</si>
  <si>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</si>
  <si>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</si>
  <si>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</si>
  <si>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</si>
  <si>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</si>
  <si>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</si>
  <si>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</si>
  <si>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</si>
  <si>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</si>
  <si>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</si>
  <si>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</si>
  <si>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</si>
  <si>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</si>
  <si>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</si>
  <si>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</si>
  <si>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</si>
  <si>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</si>
  <si>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</si>
  <si>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</si>
  <si>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</si>
  <si>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</si>
  <si>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</si>
  <si>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</si>
  <si>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</si>
  <si>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</si>
  <si>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</si>
  <si>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</si>
  <si>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</si>
  <si>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</si>
  <si>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</si>
  <si>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</si>
  <si>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</si>
  <si>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</si>
  <si>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</si>
  <si>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</si>
  <si>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</si>
  <si>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</si>
  <si>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</si>
  <si>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</si>
  <si>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</si>
  <si>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</si>
  <si>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</si>
  <si>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</si>
  <si>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</si>
  <si>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</si>
  <si>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</si>
  <si>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</si>
  <si>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</si>
  <si>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</si>
  <si>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</si>
  <si>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</si>
  <si>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</si>
  <si>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</si>
  <si>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</si>
  <si>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</si>
  <si>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</si>
  <si>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</si>
  <si>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</si>
  <si>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</si>
  <si>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</si>
  <si>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</si>
  <si>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</si>
  <si>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</si>
  <si>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</si>
  <si>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</si>
  <si>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</si>
  <si>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</si>
  <si>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</si>
  <si>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</si>
  <si>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</si>
  <si>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</si>
  <si>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</si>
  <si>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</si>
  <si>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</si>
  <si>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</si>
  <si>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</si>
  <si>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</si>
  <si>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</si>
  <si>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</si>
  <si>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</si>
  <si>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</si>
  <si>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</si>
  <si>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</si>
  <si>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</si>
  <si>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</si>
  <si>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</si>
  <si>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</si>
  <si>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</si>
  <si>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</si>
  <si>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</si>
  <si>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</si>
  <si>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</si>
  <si>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</si>
  <si>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</si>
  <si>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</si>
  <si>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</si>
  <si>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</si>
  <si>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</si>
  <si>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</si>
  <si>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</si>
  <si>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</si>
  <si>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</si>
  <si>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</si>
  <si>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</si>
  <si>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</si>
  <si>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</si>
  <si>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</si>
  <si>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</si>
  <si>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</si>
  <si>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</si>
  <si>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</si>
  <si>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</si>
  <si>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</si>
  <si>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</si>
  <si>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</si>
  <si>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</si>
  <si>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</si>
  <si>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</si>
  <si>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</si>
  <si>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</si>
  <si>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</si>
  <si>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</si>
  <si>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</si>
  <si>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</si>
  <si>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</si>
  <si>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</si>
  <si>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</si>
  <si>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</si>
  <si>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</si>
  <si>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</si>
  <si>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</si>
  <si>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</si>
  <si>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</si>
  <si>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</si>
  <si>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</si>
  <si>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</si>
  <si>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</si>
  <si>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</si>
  <si>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</si>
  <si>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</si>
  <si>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</si>
  <si>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</si>
  <si>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</si>
  <si>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</si>
  <si>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</si>
  <si>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</si>
  <si>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</si>
  <si>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</si>
  <si>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</si>
  <si>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</si>
  <si>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</si>
  <si>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</si>
  <si>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</si>
  <si>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</si>
  <si>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</si>
  <si>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</si>
  <si>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</si>
  <si>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</si>
  <si>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</si>
  <si>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</si>
  <si>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</si>
  <si>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</si>
  <si>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</si>
  <si>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</si>
  <si>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</si>
  <si>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</si>
  <si>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</si>
  <si>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</si>
  <si>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</si>
  <si>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</si>
  <si>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</si>
  <si>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</si>
  <si>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</si>
  <si>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</si>
  <si>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</si>
  <si>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</si>
  <si>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</si>
  <si>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</si>
  <si>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</si>
  <si>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</si>
  <si>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</si>
  <si>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</si>
  <si>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</si>
  <si>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</si>
  <si>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</si>
  <si>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</si>
  <si>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</si>
  <si>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</si>
  <si>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</si>
  <si>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</si>
  <si>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</si>
  <si>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</si>
  <si>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</si>
  <si>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</si>
  <si>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</si>
  <si>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</si>
  <si>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</si>
  <si>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</si>
  <si>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</si>
  <si>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</si>
  <si>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</si>
  <si>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</si>
  <si>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</si>
  <si>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</si>
  <si>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</si>
  <si>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</si>
  <si>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</si>
  <si>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</si>
  <si>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</si>
  <si>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</si>
  <si>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</si>
  <si>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</si>
  <si>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</si>
  <si>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</si>
  <si>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</si>
  <si>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</si>
  <si>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</si>
  <si>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</si>
  <si>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</si>
  <si>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</si>
  <si>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</si>
  <si>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</si>
  <si>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</si>
  <si>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</si>
  <si>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</si>
  <si>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</si>
  <si>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</si>
  <si>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</si>
  <si>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</si>
  <si>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</si>
  <si>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</si>
  <si>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</si>
  <si>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</si>
  <si>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</si>
  <si>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</si>
  <si>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</si>
  <si>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</si>
  <si>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</si>
  <si>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</si>
  <si>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</si>
  <si>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</si>
  <si>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</si>
  <si>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</si>
  <si>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</si>
  <si>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</si>
  <si>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</si>
  <si>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</si>
  <si>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</si>
  <si>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</si>
  <si>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</si>
  <si>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</si>
  <si>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</si>
  <si>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</si>
  <si>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</si>
  <si>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</si>
  <si>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</si>
  <si>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</si>
  <si>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</si>
  <si>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</si>
  <si>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</si>
  <si>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</si>
  <si>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</si>
  <si>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</si>
  <si>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</si>
  <si>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</si>
  <si>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</si>
  <si>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</si>
  <si>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</si>
  <si>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</si>
  <si>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</si>
  <si>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</si>
  <si>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</si>
  <si>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</si>
  <si>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</si>
  <si>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</si>
  <si>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</si>
  <si>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</si>
  <si>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</si>
  <si>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</si>
  <si>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</si>
  <si>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</si>
  <si>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</si>
  <si>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</si>
  <si>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</si>
  <si>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</si>
  <si>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</si>
  <si>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</si>
  <si>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</si>
  <si>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</si>
  <si>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</si>
  <si>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</si>
  <si>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</si>
  <si>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</si>
  <si>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</si>
  <si>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</si>
  <si>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</si>
  <si>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</si>
  <si>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</si>
  <si>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</si>
  <si>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</si>
  <si>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</si>
  <si>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</si>
  <si>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</si>
  <si>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</si>
  <si>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</si>
  <si>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</si>
  <si>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</si>
  <si>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</si>
  <si>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</si>
  <si>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</si>
  <si>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</si>
  <si>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</si>
  <si>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</si>
  <si>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</si>
  <si>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</si>
  <si>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</si>
  <si>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</si>
  <si>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</si>
  <si>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</si>
  <si>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</si>
  <si>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</si>
  <si>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</si>
  <si>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</si>
  <si>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</si>
  <si>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</si>
  <si>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</si>
  <si>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</si>
  <si>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</si>
  <si>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</si>
  <si>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</si>
  <si>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</si>
  <si>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</si>
  <si>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</si>
  <si>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</si>
  <si>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</si>
  <si>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</si>
  <si>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</si>
  <si>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</si>
  <si>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</si>
  <si>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</si>
  <si>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</si>
  <si>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</si>
  <si>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</si>
  <si>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</si>
  <si>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</si>
  <si>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</si>
  <si>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</si>
  <si>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</si>
  <si>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</si>
  <si>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</si>
  <si>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</si>
  <si>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</si>
  <si>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</si>
  <si>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</si>
  <si>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</si>
  <si>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</si>
  <si>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</si>
  <si>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</si>
  <si>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</si>
  <si>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</si>
  <si>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</si>
  <si>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</si>
  <si>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</si>
  <si>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</si>
  <si>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</si>
  <si>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</si>
  <si>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</si>
  <si>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</si>
  <si>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</si>
  <si>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</si>
  <si>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</si>
  <si>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</si>
  <si>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</si>
  <si>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</si>
  <si>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</si>
  <si>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</si>
  <si>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</si>
  <si>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</si>
  <si>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</si>
  <si>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</si>
  <si>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</si>
  <si>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</si>
  <si>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</si>
  <si>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</si>
  <si>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</si>
  <si>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</si>
  <si>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</si>
  <si>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</si>
  <si>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</si>
  <si>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</si>
  <si>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</si>
  <si>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</si>
  <si>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</si>
  <si>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</si>
  <si>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</si>
  <si>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</si>
  <si>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</si>
  <si>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</si>
  <si>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</si>
  <si>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</si>
  <si>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</si>
  <si>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</si>
  <si>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</si>
  <si>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</si>
  <si>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</si>
  <si>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</si>
  <si>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</si>
  <si>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</si>
  <si>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</si>
  <si>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</si>
  <si>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</si>
  <si>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</si>
  <si>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</si>
  <si>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</si>
  <si>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</si>
  <si>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</si>
  <si>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</si>
  <si>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</si>
  <si>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</si>
  <si>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</si>
  <si>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</si>
  <si>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</si>
  <si>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</si>
  <si>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</si>
  <si>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</si>
  <si>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</si>
  <si>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</si>
  <si>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</si>
  <si>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</si>
  <si>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</si>
  <si>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</si>
  <si>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</si>
  <si>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</si>
  <si>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</si>
  <si>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</si>
  <si>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</si>
  <si>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</si>
  <si>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</si>
  <si>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</si>
  <si>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</si>
  <si>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</si>
  <si>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</si>
  <si>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</si>
  <si>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</si>
  <si>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</si>
  <si>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</si>
  <si>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</si>
  <si>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</si>
  <si>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</si>
  <si>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</si>
  <si>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</si>
  <si>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</si>
  <si>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</si>
  <si>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</si>
  <si>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</si>
  <si>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</si>
  <si>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</si>
  <si>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</si>
  <si>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</si>
  <si>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</si>
  <si>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</si>
  <si>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</si>
  <si>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</si>
  <si>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</si>
  <si>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</si>
  <si>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</si>
  <si>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</si>
  <si>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</si>
  <si>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</si>
  <si>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</si>
  <si>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</si>
  <si>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</si>
  <si>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</si>
  <si>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</si>
  <si>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</si>
  <si>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</si>
  <si>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</si>
  <si>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</si>
  <si>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</si>
  <si>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</si>
  <si>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</si>
  <si>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</si>
  <si>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</si>
  <si>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</si>
  <si>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</si>
  <si>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</si>
  <si>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</si>
  <si>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</si>
  <si>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</si>
  <si>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</si>
  <si>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</si>
  <si>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</si>
  <si>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</si>
  <si>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</si>
  <si>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</si>
  <si>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</si>
  <si>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</si>
  <si>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</si>
  <si>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</si>
  <si>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</si>
  <si>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</si>
  <si>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</si>
  <si>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</si>
  <si>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</si>
  <si>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</si>
  <si>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</si>
  <si>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</si>
  <si>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</si>
  <si>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</si>
  <si>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</si>
  <si>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</si>
  <si>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</si>
  <si>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</si>
  <si>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</si>
  <si>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</si>
  <si>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</si>
  <si>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</si>
  <si>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</si>
  <si>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</si>
  <si>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</si>
  <si>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</si>
  <si>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</si>
  <si>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</si>
  <si>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</si>
  <si>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</si>
  <si>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</si>
  <si>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</si>
  <si>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</si>
  <si>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</si>
  <si>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</si>
  <si>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</si>
  <si>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</si>
  <si>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</si>
  <si>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</si>
  <si>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</si>
  <si>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</si>
  <si>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</si>
  <si>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</si>
  <si>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</si>
  <si>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</si>
  <si>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</si>
  <si>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</si>
  <si>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</si>
  <si>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</si>
  <si>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</si>
  <si>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</si>
  <si>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</si>
  <si>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</si>
  <si>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</si>
  <si>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</si>
  <si>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</si>
  <si>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</si>
  <si>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</si>
  <si>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</si>
  <si>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</si>
  <si>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</si>
  <si>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</si>
  <si>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</si>
  <si>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</si>
  <si>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</si>
  <si>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</si>
  <si>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</si>
  <si>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</si>
  <si>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</si>
  <si>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</si>
  <si>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</si>
  <si>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</si>
  <si>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</si>
  <si>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</si>
  <si>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</si>
  <si>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</si>
  <si>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</si>
  <si>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</si>
  <si>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</si>
  <si>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</si>
  <si>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</si>
  <si>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</si>
  <si>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</si>
  <si>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</si>
  <si>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</si>
  <si>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</si>
  <si>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</si>
  <si>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</si>
  <si>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</si>
  <si>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</si>
  <si>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</si>
  <si>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</si>
  <si>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</si>
  <si>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</si>
  <si>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</si>
  <si>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</si>
  <si>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</si>
  <si>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</si>
  <si>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</si>
  <si>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</si>
  <si>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</si>
  <si>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</si>
  <si>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</si>
  <si>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</si>
  <si>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</si>
  <si>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</si>
  <si>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</si>
  <si>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</si>
  <si>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</si>
  <si>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</si>
  <si>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</si>
  <si>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</si>
  <si>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</si>
  <si>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</si>
  <si>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</si>
  <si>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</si>
  <si>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</si>
  <si>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</si>
  <si>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</si>
  <si>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</si>
  <si>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</si>
  <si>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</si>
  <si>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</si>
  <si>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</si>
  <si>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</si>
  <si>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</si>
  <si>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</si>
  <si>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</si>
  <si>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</si>
  <si>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</si>
  <si>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</si>
  <si>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</si>
  <si>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</si>
  <si>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</si>
  <si>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</si>
  <si>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</si>
  <si>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</si>
  <si>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</si>
  <si>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</si>
  <si>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</si>
  <si>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</si>
  <si>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</si>
  <si>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</si>
  <si>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</si>
  <si>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</si>
  <si>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</si>
  <si>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</si>
  <si>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</si>
  <si>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</si>
  <si>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</si>
  <si>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</si>
  <si>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</si>
  <si>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</si>
  <si>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</si>
  <si>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</si>
  <si>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</si>
  <si>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</si>
  <si>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</si>
  <si>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</si>
  <si>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</si>
  <si>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</si>
  <si>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</si>
  <si>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</si>
  <si>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</si>
  <si>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</si>
  <si>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</si>
  <si>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</si>
  <si>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</si>
  <si>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</si>
  <si>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</si>
  <si>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</si>
  <si>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</si>
  <si>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</si>
  <si>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</si>
  <si>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</si>
  <si>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</si>
  <si>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</si>
  <si>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</si>
  <si>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</si>
  <si>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</si>
  <si>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</si>
  <si>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</si>
  <si>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</si>
  <si>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</si>
  <si>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</si>
  <si>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</si>
  <si>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</si>
  <si>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</si>
  <si>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</si>
  <si>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</si>
  <si>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</si>
  <si>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</si>
  <si>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</si>
  <si>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</si>
  <si>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</si>
  <si>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</si>
  <si>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</si>
  <si>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</si>
  <si>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</si>
  <si>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</si>
  <si>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</si>
  <si>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</si>
  <si>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</si>
  <si>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</si>
  <si>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</si>
  <si>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</si>
  <si>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</si>
  <si>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</si>
  <si>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</si>
  <si>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</si>
  <si>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</si>
  <si>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</si>
  <si>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</si>
  <si>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</si>
  <si>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</si>
  <si>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</si>
  <si>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</si>
  <si>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</si>
  <si>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</si>
  <si>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</si>
  <si>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</si>
  <si>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</si>
  <si>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</si>
  <si>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</si>
  <si>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</si>
  <si>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</si>
  <si>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</si>
  <si>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</si>
  <si>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</si>
  <si>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</si>
  <si>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</si>
  <si>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</si>
  <si>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</si>
  <si>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</si>
  <si>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</si>
  <si>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</si>
  <si>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</si>
  <si>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</si>
  <si>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</si>
  <si>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</si>
  <si>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</si>
  <si>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</si>
  <si>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</si>
  <si>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</si>
  <si>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</si>
  <si>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</si>
  <si>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</si>
  <si>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</si>
  <si>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</si>
  <si>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</si>
  <si>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</si>
  <si>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</si>
  <si>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</si>
  <si>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</si>
  <si>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</si>
  <si>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</si>
  <si>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</si>
  <si>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</si>
  <si>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</si>
  <si>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</si>
  <si>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</si>
  <si>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</si>
  <si>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</si>
  <si>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</si>
  <si>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</si>
  <si>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</si>
  <si>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</si>
  <si>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</si>
  <si>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</si>
  <si>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</si>
  <si>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</si>
  <si>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</si>
  <si>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</si>
  <si>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</si>
  <si>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</si>
  <si>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</si>
  <si>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</si>
  <si>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</si>
  <si>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</si>
  <si>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</si>
  <si>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</si>
  <si>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</si>
  <si>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</si>
  <si>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</si>
  <si>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</si>
  <si>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</si>
  <si>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</si>
  <si>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</si>
  <si>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</si>
  <si>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</si>
  <si>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</si>
  <si>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</si>
  <si>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</si>
  <si>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</si>
  <si>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</si>
  <si>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</si>
  <si>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</si>
  <si>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</si>
  <si>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</si>
  <si>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</si>
  <si>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</si>
  <si>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</si>
  <si>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</si>
  <si>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</si>
  <si>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</si>
  <si>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</si>
  <si>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</si>
  <si>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</si>
  <si>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</si>
  <si>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</si>
  <si>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</si>
  <si>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</si>
  <si>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</si>
  <si>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</si>
  <si>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</si>
  <si>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</si>
  <si>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</si>
  <si>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</si>
  <si>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</si>
  <si>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</si>
  <si>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</si>
  <si>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</si>
  <si>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</si>
  <si>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</si>
  <si>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</si>
  <si>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</si>
  <si>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</si>
  <si>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</si>
  <si>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</si>
  <si>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</si>
  <si>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</si>
  <si>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</si>
  <si>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</si>
  <si>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</si>
  <si>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</si>
  <si>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</si>
  <si>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</si>
  <si>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</si>
  <si>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</si>
  <si>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</si>
  <si>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</si>
  <si>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</si>
  <si>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</si>
  <si>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</si>
  <si>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</si>
  <si>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</si>
  <si>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</si>
  <si>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</si>
  <si>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</si>
  <si>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</si>
  <si>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</si>
  <si>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</si>
  <si>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</si>
  <si>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</si>
  <si>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</si>
  <si>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</si>
  <si>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</si>
  <si>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</si>
  <si>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</si>
  <si>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</si>
  <si>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</si>
  <si>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</si>
  <si>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</si>
  <si>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</si>
  <si>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</si>
  <si>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</si>
  <si>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</si>
  <si>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</si>
  <si>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</si>
  <si>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</si>
  <si>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</si>
  <si>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</si>
  <si>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</si>
  <si>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</si>
  <si>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</si>
  <si>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</si>
  <si>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</si>
  <si>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</si>
  <si>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</si>
  <si>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</si>
  <si>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</si>
  <si>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</si>
  <si>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</si>
  <si>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</si>
  <si>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</si>
  <si>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</si>
  <si>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</si>
  <si>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</si>
  <si>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</si>
  <si>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</si>
  <si>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</si>
  <si>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</si>
  <si>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</si>
  <si>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</si>
  <si>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</si>
  <si>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</si>
  <si>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</si>
  <si>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</si>
  <si>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</si>
  <si>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</si>
  <si>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</si>
  <si>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</si>
  <si>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</si>
  <si>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</si>
  <si>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</si>
  <si>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</si>
  <si>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</si>
  <si>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</si>
  <si>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</si>
  <si>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</si>
  <si>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</si>
  <si>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</si>
  <si>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</si>
  <si>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</si>
  <si>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</si>
  <si>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</si>
  <si>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</si>
  <si>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</si>
  <si>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</si>
  <si>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</si>
  <si>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</si>
  <si>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</si>
  <si>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</si>
  <si>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</si>
  <si>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</si>
  <si>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</si>
  <si>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</si>
  <si>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</si>
  <si>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</si>
  <si>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</si>
  <si>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</si>
  <si>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</si>
  <si>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</si>
  <si>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</si>
  <si>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</si>
  <si>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</si>
  <si>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</si>
  <si>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</si>
  <si>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</si>
  <si>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</si>
  <si>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</si>
  <si>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</si>
  <si>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</si>
  <si>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</si>
  <si>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</si>
  <si>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</si>
  <si>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</si>
  <si>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</si>
  <si>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</si>
  <si>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</si>
  <si>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</si>
  <si>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</si>
  <si>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</si>
  <si>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</si>
  <si>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</si>
  <si>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</si>
  <si>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</si>
  <si>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</si>
  <si>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</si>
  <si>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</si>
  <si>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</si>
  <si>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</si>
  <si>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</si>
  <si>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</si>
  <si>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</si>
  <si>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</si>
  <si>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</si>
  <si>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</si>
  <si>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</si>
  <si>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</si>
  <si>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</si>
  <si>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</si>
  <si>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</si>
  <si>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</si>
  <si>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</si>
  <si>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</si>
  <si>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</si>
  <si>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</si>
  <si>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</si>
  <si>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</si>
  <si>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</si>
  <si>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</si>
  <si>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</si>
  <si>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</si>
  <si>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</si>
  <si>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</si>
  <si>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</si>
  <si>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</si>
  <si>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</si>
  <si>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</si>
  <si>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</si>
  <si>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</si>
  <si>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</si>
  <si>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</si>
  <si>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</si>
  <si>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</si>
  <si>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</si>
  <si>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</si>
  <si>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</si>
  <si>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</si>
  <si>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</si>
  <si>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</si>
  <si>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</si>
  <si>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</si>
  <si>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</si>
  <si>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</si>
  <si>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</si>
  <si>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</si>
  <si>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</si>
  <si>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</si>
  <si>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</si>
  <si>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</si>
  <si>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</si>
  <si>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</si>
  <si>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</si>
  <si>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</si>
  <si>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</si>
  <si>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</si>
  <si>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</si>
  <si>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</si>
  <si>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</si>
  <si>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</si>
  <si>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</si>
  <si>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</si>
  <si>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</si>
  <si>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</si>
  <si>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</si>
  <si>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</si>
  <si>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</si>
  <si>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</si>
  <si>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</si>
  <si>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</si>
  <si>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</si>
  <si>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</si>
  <si>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</si>
  <si>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</si>
  <si>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</si>
  <si>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</si>
  <si>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</si>
  <si>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</si>
  <si>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</si>
  <si>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</si>
  <si>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</si>
  <si>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</si>
  <si>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</si>
  <si>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</si>
  <si>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</si>
  <si>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</si>
  <si>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</si>
  <si>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</si>
  <si>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</si>
  <si>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</si>
  <si>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</si>
  <si>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</si>
  <si>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</si>
  <si>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</si>
  <si>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</si>
  <si>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</si>
  <si>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</si>
  <si>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</si>
  <si>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</si>
  <si>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</si>
  <si>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</si>
  <si>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</si>
  <si>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</si>
  <si>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</si>
  <si>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</si>
  <si>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</si>
  <si>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</si>
  <si>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</si>
  <si>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</si>
  <si>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</si>
  <si>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</si>
  <si>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</si>
  <si>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</si>
  <si>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</si>
  <si>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</si>
  <si>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</si>
  <si>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</si>
  <si>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</si>
  <si>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</si>
  <si>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</si>
  <si>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</si>
  <si>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</si>
  <si>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</si>
  <si>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</si>
  <si>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</si>
  <si>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</si>
  <si>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</si>
  <si>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</si>
  <si>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</si>
  <si>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</si>
  <si>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</si>
  <si>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</si>
  <si>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</si>
  <si>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</si>
  <si>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</si>
  <si>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</si>
  <si>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</si>
  <si>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</si>
  <si>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</si>
  <si>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</si>
  <si>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</si>
  <si>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</si>
  <si>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</si>
  <si>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</si>
  <si>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</si>
  <si>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</si>
  <si>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</si>
  <si>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</si>
  <si>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</si>
  <si>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</si>
  <si>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</si>
  <si>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</si>
  <si>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</si>
  <si>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</si>
  <si>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</si>
  <si>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</si>
  <si>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</si>
  <si>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</si>
  <si>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</si>
  <si>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</si>
  <si>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</si>
  <si>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</si>
  <si>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</si>
  <si>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</si>
  <si>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</si>
  <si>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</si>
  <si>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</si>
  <si>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</si>
  <si>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</si>
  <si>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</si>
  <si>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</si>
  <si>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</si>
  <si>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</si>
  <si>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</si>
  <si>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</si>
  <si>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</si>
  <si>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</si>
  <si>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</si>
  <si>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</si>
  <si>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</si>
  <si>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</si>
  <si>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</si>
  <si>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</si>
  <si>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</si>
  <si>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</si>
  <si>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</si>
  <si>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</si>
  <si>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</si>
  <si>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</si>
  <si>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</si>
  <si>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</si>
  <si>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</si>
  <si>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</si>
  <si>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</si>
  <si>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</si>
  <si>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</si>
  <si>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</si>
  <si>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</si>
  <si>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</si>
  <si>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</si>
  <si>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</si>
  <si>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</si>
  <si>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</si>
  <si>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</si>
  <si>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</si>
  <si>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</si>
  <si>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</si>
  <si>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</si>
  <si>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</si>
  <si>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</si>
  <si>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</si>
  <si>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</si>
  <si>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</si>
  <si>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</si>
  <si>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</si>
  <si>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</si>
  <si>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</si>
  <si>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</si>
  <si>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</si>
  <si>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</si>
  <si>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</si>
  <si>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</si>
  <si>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</si>
  <si>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</si>
  <si>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</si>
  <si>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</si>
  <si>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</si>
  <si>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</si>
  <si>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</si>
  <si>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</si>
  <si>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</si>
  <si>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</si>
  <si>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</si>
  <si>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</si>
  <si>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</si>
  <si>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</si>
  <si>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</si>
  <si>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</si>
  <si>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</si>
  <si>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</si>
  <si>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</si>
  <si>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</si>
  <si>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</si>
  <si>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</si>
  <si>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</si>
  <si>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</si>
  <si>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</si>
  <si>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</si>
  <si>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</si>
  <si>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</si>
  <si>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</si>
  <si>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</si>
  <si>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</si>
  <si>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</si>
  <si>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</si>
  <si>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</si>
  <si>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</si>
  <si>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</si>
  <si>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</si>
  <si>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</si>
  <si>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</si>
  <si>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</si>
  <si>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</si>
  <si>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</si>
  <si>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</si>
  <si>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</si>
  <si>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</si>
  <si>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</si>
  <si>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</si>
  <si>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</si>
  <si>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</si>
  <si>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</si>
  <si>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</si>
  <si>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</si>
  <si>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</si>
  <si>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</si>
  <si>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</si>
  <si>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</si>
  <si>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</si>
  <si>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</si>
  <si>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</si>
  <si>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</si>
  <si>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</si>
  <si>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</si>
  <si>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</si>
  <si>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</si>
  <si>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</si>
  <si>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</si>
  <si>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</si>
  <si>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</si>
  <si>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</si>
  <si>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</si>
  <si>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</si>
  <si>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</si>
  <si>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</si>
  <si>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</si>
  <si>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</si>
  <si>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</si>
  <si>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</si>
  <si>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</si>
  <si>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</si>
  <si>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</si>
  <si>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</si>
  <si>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</si>
  <si>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</si>
  <si>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</si>
  <si>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</si>
  <si>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</si>
  <si>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</si>
  <si>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</si>
  <si>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</si>
  <si>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</si>
  <si>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</si>
  <si>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</si>
  <si>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</si>
  <si>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</si>
  <si>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</si>
  <si>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</si>
  <si>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</si>
  <si>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</si>
  <si>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</si>
  <si>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</si>
  <si>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</si>
  <si>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</si>
  <si>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</si>
  <si>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</si>
  <si>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</si>
  <si>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</si>
  <si>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</si>
  <si>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</si>
  <si>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</si>
  <si>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</si>
  <si>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</si>
  <si>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</si>
  <si>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</si>
  <si>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</si>
  <si>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</si>
  <si>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</si>
  <si>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</si>
  <si>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</si>
  <si>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</si>
  <si>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</si>
  <si>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</si>
  <si>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</si>
  <si>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</si>
  <si>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</si>
  <si>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</si>
  <si>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</si>
  <si>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</si>
  <si>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</si>
  <si>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</si>
  <si>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</si>
  <si>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</si>
  <si>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</si>
  <si>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</si>
  <si>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</si>
  <si>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</si>
  <si>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</si>
  <si>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</si>
  <si>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</si>
  <si>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</si>
  <si>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</si>
  <si>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</si>
  <si>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</si>
  <si>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</si>
  <si>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</si>
  <si>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</si>
  <si>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</si>
  <si>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</si>
  <si>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</si>
  <si>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</si>
  <si>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</si>
  <si>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</si>
  <si>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</si>
  <si>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</si>
  <si>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</si>
  <si>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</si>
  <si>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</si>
  <si>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</si>
  <si>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</si>
  <si>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</si>
  <si>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</si>
  <si>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</si>
  <si>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</si>
  <si>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</si>
  <si>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</si>
  <si>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</si>
  <si>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</si>
  <si>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</si>
  <si>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</si>
  <si>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</si>
  <si>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</si>
  <si>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</si>
  <si>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</si>
  <si>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</si>
  <si>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</si>
  <si>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</si>
  <si>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</si>
  <si>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</si>
  <si>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</si>
  <si>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</si>
  <si>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</si>
  <si>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</si>
  <si>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</si>
  <si>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</si>
  <si>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</si>
  <si>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</si>
  <si>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</si>
  <si>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</si>
  <si>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</si>
  <si>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</si>
  <si>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</si>
  <si>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</si>
  <si>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</si>
  <si>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</si>
  <si>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</si>
  <si>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</si>
  <si>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</si>
  <si>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</si>
  <si>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</si>
  <si>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</si>
  <si>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</si>
  <si>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</si>
  <si>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</si>
  <si>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</si>
  <si>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</si>
  <si>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</si>
  <si>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</si>
  <si>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</si>
  <si>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</si>
  <si>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</si>
  <si>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</si>
  <si>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</si>
  <si>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</si>
  <si>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</si>
  <si>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</si>
  <si>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</si>
  <si>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</si>
  <si>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</si>
  <si>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</si>
  <si>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</si>
  <si>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</si>
  <si>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</si>
  <si>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</si>
  <si>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</si>
  <si>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</si>
  <si>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</si>
  <si>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</si>
  <si>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</si>
  <si>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</si>
  <si>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</si>
  <si>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</si>
  <si>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</si>
  <si>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</si>
  <si>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</si>
  <si>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</si>
  <si>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</si>
  <si>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</si>
  <si>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</si>
  <si>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</si>
  <si>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</si>
  <si>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</si>
  <si>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</si>
  <si>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</si>
  <si>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</si>
  <si>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</si>
  <si>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</si>
  <si>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</si>
  <si>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</si>
  <si>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</si>
  <si>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</si>
  <si>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</si>
  <si>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</si>
  <si>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</si>
  <si>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</si>
  <si>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</si>
  <si>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</si>
  <si>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</si>
  <si>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</si>
  <si>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</si>
  <si>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</si>
  <si>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</si>
  <si>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</si>
  <si>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</si>
  <si>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</si>
  <si>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</si>
  <si>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</si>
  <si>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</si>
  <si>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</si>
  <si>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</si>
  <si>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</si>
  <si>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</si>
  <si>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</si>
  <si>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</si>
  <si>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</si>
  <si>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</si>
  <si>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</si>
  <si>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</si>
  <si>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</si>
  <si>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</si>
  <si>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</si>
  <si>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</si>
  <si>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</si>
  <si>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</si>
  <si>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</si>
  <si>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</si>
  <si>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</si>
  <si>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</si>
  <si>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</si>
  <si>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</si>
  <si>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</si>
  <si>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</si>
  <si>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</si>
  <si>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</si>
  <si>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</si>
  <si>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</si>
  <si>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</si>
  <si>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</si>
  <si>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</si>
  <si>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</si>
  <si>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</si>
  <si>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</si>
  <si>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</si>
  <si>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</si>
  <si>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</si>
  <si>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</si>
  <si>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</si>
  <si>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</si>
  <si>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</si>
  <si>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</si>
  <si>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</si>
  <si>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</si>
  <si>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</si>
  <si>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</si>
  <si>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</si>
  <si>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</si>
  <si>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</si>
  <si>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</si>
  <si>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</si>
  <si>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</si>
  <si>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</si>
  <si>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</si>
  <si>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</si>
  <si>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</si>
  <si>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</si>
  <si>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</si>
  <si>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</si>
  <si>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</si>
  <si>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</si>
  <si>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</si>
  <si>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</si>
  <si>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</si>
  <si>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</si>
  <si>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</si>
  <si>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</si>
  <si>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</si>
  <si>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</si>
  <si>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</si>
  <si>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</si>
  <si>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</si>
  <si>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</si>
  <si>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</si>
  <si>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</si>
  <si>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</si>
  <si>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</si>
  <si>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</si>
  <si>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</si>
  <si>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</si>
  <si>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</si>
  <si>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</si>
  <si>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</si>
  <si>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</si>
  <si>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</si>
  <si>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</si>
  <si>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</si>
  <si>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</si>
  <si>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</si>
  <si>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</si>
  <si>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</si>
  <si>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</si>
  <si>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</si>
  <si>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</si>
  <si>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</si>
  <si>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</si>
  <si>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</si>
  <si>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</si>
  <si>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</si>
  <si>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</si>
  <si>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</si>
  <si>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</si>
  <si>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</si>
  <si>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</si>
  <si>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</si>
  <si>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</si>
  <si>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</si>
  <si>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</si>
  <si>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</si>
  <si>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</si>
  <si>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</si>
  <si>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</si>
  <si>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</si>
  <si>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</si>
  <si>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</si>
  <si>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</si>
  <si>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</si>
  <si>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</si>
  <si>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</si>
  <si>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</si>
  <si>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</si>
  <si>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</si>
  <si>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</si>
  <si>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</si>
  <si>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</si>
  <si>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</si>
  <si>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</si>
  <si>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</si>
  <si>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</si>
  <si>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</si>
  <si>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</si>
  <si>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</si>
  <si>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</si>
  <si>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</si>
  <si>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</si>
  <si>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</si>
  <si>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</si>
  <si>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</si>
  <si>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</si>
  <si>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</si>
  <si>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</si>
  <si>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</si>
  <si>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</si>
  <si>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</si>
  <si>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</si>
  <si>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</si>
  <si>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</si>
  <si>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</si>
  <si>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</si>
  <si>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</si>
  <si>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</si>
  <si>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</si>
  <si>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</si>
  <si>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</si>
  <si>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</si>
  <si>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</si>
  <si>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</si>
  <si>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</si>
  <si>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</si>
  <si>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</si>
  <si>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</si>
  <si>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</si>
  <si>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</si>
  <si>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</si>
  <si>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</si>
  <si>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</si>
  <si>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</si>
  <si>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</si>
  <si>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</si>
  <si>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</si>
  <si>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</si>
  <si>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</si>
  <si>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</si>
  <si>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</si>
  <si>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</si>
  <si>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</si>
  <si>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</si>
  <si>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</si>
  <si>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</si>
  <si>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</si>
  <si>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</si>
  <si>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</si>
  <si>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</si>
  <si>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</si>
  <si>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</si>
  <si>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</si>
  <si>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</si>
  <si>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</si>
  <si>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</si>
  <si>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</si>
  <si>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</si>
  <si>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</si>
  <si>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</si>
  <si>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</si>
  <si>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</si>
  <si>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</si>
  <si>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</si>
  <si>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</si>
  <si>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</si>
  <si>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</si>
  <si>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</si>
  <si>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</si>
  <si>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</si>
  <si>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</si>
  <si>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</si>
  <si>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</si>
  <si>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</si>
  <si>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</si>
  <si>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</si>
  <si>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</si>
  <si>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</si>
  <si>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</si>
  <si>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</si>
  <si>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</si>
  <si>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</si>
  <si>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</si>
  <si>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</si>
  <si>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</si>
  <si>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</si>
  <si>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</si>
  <si>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</si>
  <si>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</si>
  <si>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</si>
  <si>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</si>
  <si>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</si>
  <si>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</si>
  <si>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</si>
  <si>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</si>
  <si>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</si>
  <si>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</si>
  <si>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</si>
  <si>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</si>
  <si>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</si>
  <si>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</si>
  <si>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</si>
  <si>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</si>
  <si>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</si>
  <si>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</si>
  <si>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</si>
  <si>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</si>
  <si>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</si>
  <si>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</si>
  <si>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</si>
  <si>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</si>
  <si>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</si>
  <si>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</si>
  <si>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</si>
  <si>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</si>
  <si>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</si>
  <si>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</si>
  <si>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</si>
  <si>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</si>
  <si>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</si>
  <si>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</si>
  <si>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</si>
  <si>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</si>
  <si>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</si>
  <si>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</si>
  <si>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</si>
  <si>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</si>
  <si>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</si>
  <si>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</si>
  <si>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</si>
  <si>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</si>
  <si>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</si>
  <si>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</si>
  <si>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</si>
  <si>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</si>
  <si>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</si>
  <si>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</si>
  <si>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</si>
  <si>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</si>
  <si>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</si>
  <si>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</si>
  <si>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</si>
  <si>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</si>
  <si>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</si>
  <si>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</si>
  <si>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</si>
  <si>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</si>
  <si>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</si>
  <si>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</si>
  <si>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</si>
  <si>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</si>
  <si>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</si>
  <si>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</si>
  <si>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</si>
  <si>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</si>
  <si>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</si>
  <si>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</si>
  <si>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</si>
  <si>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</si>
  <si>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</si>
  <si>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</si>
  <si>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</si>
  <si>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</si>
  <si>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</si>
  <si>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</si>
  <si>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</si>
  <si>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</si>
  <si>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</si>
  <si>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</si>
  <si>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</si>
  <si>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</si>
  <si>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</si>
  <si>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</si>
  <si>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</si>
  <si>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</si>
  <si>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</si>
  <si>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</si>
  <si>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</si>
  <si>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</si>
  <si>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</si>
  <si>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</si>
  <si>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</si>
  <si>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</si>
  <si>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</si>
  <si>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</si>
  <si>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</si>
  <si>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</si>
  <si>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</si>
  <si>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</si>
  <si>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</si>
  <si>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</si>
  <si>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</si>
  <si>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</si>
  <si>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</si>
  <si>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</si>
  <si>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</si>
  <si>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</si>
  <si>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</si>
  <si>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</si>
  <si>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</si>
  <si>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</si>
  <si>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</si>
  <si>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</si>
  <si>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</si>
  <si>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</si>
  <si>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</si>
  <si>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</si>
  <si>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</si>
  <si>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</si>
  <si>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</si>
  <si>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</si>
  <si>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</si>
  <si>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</si>
  <si>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</si>
  <si>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</si>
  <si>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</si>
  <si>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</si>
  <si>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</si>
  <si>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</si>
  <si>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</si>
  <si>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</si>
  <si>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</si>
  <si>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</si>
  <si>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</si>
  <si>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</si>
  <si>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</si>
  <si>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</si>
  <si>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</si>
  <si>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</si>
  <si>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</si>
  <si>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</si>
  <si>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</si>
  <si>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</si>
  <si>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</si>
  <si>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</si>
  <si>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</si>
  <si>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</si>
  <si>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</si>
  <si>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</si>
  <si>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</si>
  <si>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</si>
  <si>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</si>
  <si>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</si>
  <si>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</si>
  <si>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</si>
  <si>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</si>
  <si>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</si>
  <si>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</si>
  <si>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</si>
  <si>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</si>
  <si>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</si>
  <si>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</si>
  <si>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</si>
  <si>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</si>
  <si>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</si>
  <si>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</si>
  <si>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</si>
  <si>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</si>
  <si>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</si>
  <si>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</si>
  <si>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</si>
  <si>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</si>
  <si>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</si>
  <si>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</si>
  <si>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</si>
  <si>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</si>
  <si>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</si>
  <si>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</si>
  <si>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</si>
  <si>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</si>
  <si>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</si>
  <si>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</si>
  <si>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</si>
  <si>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</si>
  <si>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</si>
  <si>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</si>
  <si>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</si>
  <si>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</si>
  <si>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</si>
  <si>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</si>
  <si>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</si>
  <si>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</si>
  <si>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</si>
  <si>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</si>
  <si>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</si>
  <si>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</si>
  <si>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</si>
  <si>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</si>
  <si>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</si>
  <si>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</si>
  <si>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</si>
  <si>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</si>
  <si>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</si>
  <si>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</si>
  <si>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</si>
  <si>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</si>
  <si>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</si>
  <si>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</si>
  <si>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</si>
  <si>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</si>
  <si>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</si>
  <si>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</si>
  <si>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</si>
  <si>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</si>
  <si>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</si>
  <si>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</si>
  <si>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</si>
  <si>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</si>
  <si>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</si>
  <si>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</si>
  <si>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</si>
  <si>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</si>
  <si>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</si>
  <si>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</si>
  <si>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</si>
  <si>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</si>
  <si>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</si>
  <si>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</si>
  <si>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</si>
  <si>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</si>
  <si>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</si>
  <si>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</si>
  <si>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</si>
  <si>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</si>
  <si>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</si>
  <si>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</si>
  <si>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</si>
  <si>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</si>
  <si>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</si>
  <si>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</si>
  <si>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</si>
  <si>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</si>
  <si>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</si>
  <si>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</si>
  <si>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</si>
  <si>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</si>
  <si>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</si>
  <si>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</si>
  <si>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</si>
  <si>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</si>
  <si>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</si>
  <si>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</si>
  <si>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</si>
  <si>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</si>
  <si>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</si>
  <si>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</si>
  <si>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</si>
  <si>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</si>
  <si>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</si>
  <si>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</si>
  <si>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</si>
  <si>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</si>
  <si>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</si>
  <si>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</si>
  <si>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</si>
  <si>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</si>
  <si>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</si>
  <si>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</si>
  <si>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</si>
  <si>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</si>
  <si>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</si>
  <si>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</si>
  <si>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</si>
  <si>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</si>
  <si>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</si>
  <si>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</si>
  <si>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</si>
  <si>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</si>
  <si>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</si>
  <si>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</si>
  <si>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</si>
  <si>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</si>
  <si>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</si>
  <si>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</si>
  <si>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</si>
  <si>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</si>
  <si>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</si>
  <si>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</si>
  <si>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</si>
  <si>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</si>
  <si>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</si>
  <si>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</si>
  <si>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</si>
  <si>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</si>
  <si>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</si>
  <si>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</si>
  <si>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</si>
  <si>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</si>
  <si>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</si>
  <si>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</si>
  <si>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</si>
  <si>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</si>
  <si>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</si>
  <si>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</si>
  <si>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</si>
  <si>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</si>
  <si>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</si>
  <si>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</si>
  <si>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</si>
  <si>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</si>
  <si>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</si>
  <si>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</si>
  <si>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</si>
  <si>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</si>
  <si>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</si>
  <si>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</si>
  <si>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</si>
  <si>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</si>
  <si>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</si>
  <si>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</si>
  <si>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</si>
  <si>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</si>
  <si>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</si>
  <si>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</si>
  <si>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</si>
  <si>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</si>
  <si>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</si>
  <si>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</si>
  <si>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</si>
  <si>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</si>
  <si>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</si>
  <si>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</si>
  <si>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</si>
  <si>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</si>
  <si>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</si>
  <si>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</si>
  <si>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</si>
  <si>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</si>
  <si>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</si>
  <si>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</si>
  <si>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</si>
  <si>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</si>
  <si>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</si>
  <si>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</si>
  <si>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</si>
  <si>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</si>
  <si>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</si>
  <si>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</si>
  <si>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</si>
  <si>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</si>
  <si>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</si>
  <si>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</si>
  <si>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</si>
  <si>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</si>
  <si>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</si>
  <si>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</si>
  <si>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</si>
  <si>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</si>
  <si>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</si>
  <si>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</si>
  <si>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</si>
  <si>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</si>
  <si>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</si>
  <si>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</si>
  <si>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</si>
  <si>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</si>
  <si>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</si>
  <si>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</si>
  <si>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</si>
  <si>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</si>
  <si>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</si>
  <si>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</si>
  <si>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</si>
  <si>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</si>
  <si>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</si>
  <si>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</si>
  <si>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</si>
  <si>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</si>
  <si>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</si>
  <si>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</si>
  <si>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</si>
  <si>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</si>
  <si>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</si>
  <si>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</si>
  <si>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</si>
  <si>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</si>
  <si>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</si>
  <si>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</si>
  <si>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</si>
  <si>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</si>
  <si>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</si>
  <si>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</si>
  <si>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</si>
  <si>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</si>
  <si>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</si>
  <si>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</si>
  <si>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</si>
  <si>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</si>
  <si>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</si>
  <si>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</si>
  <si>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</si>
  <si>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</si>
  <si>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</si>
  <si>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</si>
  <si>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</si>
  <si>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</si>
  <si>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</si>
  <si>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</si>
  <si>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</si>
  <si>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</si>
  <si>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</si>
  <si>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</si>
  <si>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</si>
  <si>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</si>
  <si>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</si>
  <si>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</si>
  <si>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</si>
  <si>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</si>
  <si>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</si>
  <si>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</si>
  <si>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</si>
  <si>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</si>
  <si>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</si>
  <si>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</si>
  <si>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</si>
  <si>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</si>
  <si>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</si>
  <si>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</si>
  <si>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</si>
  <si>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</si>
  <si>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</si>
  <si>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</si>
  <si>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</si>
  <si>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</si>
  <si>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</si>
  <si>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</si>
  <si>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</si>
  <si>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</si>
  <si>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</si>
  <si>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</si>
  <si>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</si>
  <si>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</si>
  <si>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</si>
  <si>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</si>
  <si>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</si>
  <si>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</si>
  <si>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</si>
  <si>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</si>
  <si>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</si>
  <si>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</si>
  <si>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</si>
  <si>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</si>
  <si>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</si>
  <si>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</si>
  <si>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</si>
  <si>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</si>
  <si>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</si>
  <si>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</si>
  <si>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</si>
  <si>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</si>
  <si>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</si>
  <si>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</si>
  <si>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</si>
  <si>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</si>
  <si>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</si>
  <si>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</si>
  <si>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</si>
  <si>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</si>
  <si>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</si>
  <si>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</si>
  <si>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</si>
  <si>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</si>
  <si>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</si>
  <si>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</si>
  <si>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</si>
  <si>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</si>
  <si>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</si>
  <si>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</si>
  <si>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</si>
  <si>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</si>
  <si>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</si>
  <si>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</si>
  <si>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</si>
  <si>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</si>
  <si>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</si>
  <si>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</si>
  <si>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</si>
  <si>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</si>
  <si>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</si>
  <si>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</si>
  <si>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</si>
  <si>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</si>
  <si>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</si>
  <si>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</si>
  <si>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</si>
  <si>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</si>
  <si>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</si>
  <si>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</si>
  <si>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</si>
  <si>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</si>
  <si>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</si>
  <si>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</si>
  <si>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</si>
  <si>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</si>
  <si>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</si>
  <si>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</si>
  <si>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</si>
  <si>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</si>
  <si>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</si>
  <si>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</si>
  <si>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</si>
  <si>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</si>
  <si>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</si>
  <si>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</si>
  <si>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</si>
  <si>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</si>
  <si>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</si>
  <si>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</si>
  <si>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</si>
  <si>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</si>
  <si>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</si>
  <si>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</si>
  <si>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</si>
  <si>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</si>
  <si>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</si>
  <si>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</si>
  <si>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</si>
  <si>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</si>
  <si>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</si>
  <si>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</si>
  <si>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</si>
  <si>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</si>
  <si>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</si>
  <si>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</si>
  <si>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</si>
  <si>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</si>
  <si>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</si>
  <si>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</si>
  <si>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</si>
  <si>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</si>
  <si>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</si>
  <si>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</si>
  <si>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</si>
  <si>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</si>
  <si>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</si>
  <si>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</si>
  <si>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</si>
  <si>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</si>
  <si>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</si>
  <si>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</si>
  <si>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</si>
  <si>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</si>
  <si>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</si>
  <si>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</si>
  <si>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</si>
  <si>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</si>
  <si>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</si>
  <si>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</si>
  <si>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</si>
  <si>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</si>
  <si>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</si>
  <si>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</si>
  <si>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</si>
  <si>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</si>
  <si>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</si>
  <si>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</si>
  <si>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</si>
  <si>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</si>
  <si>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</si>
  <si>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</si>
  <si>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</si>
  <si>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</si>
  <si>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</si>
  <si>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</si>
  <si>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</si>
  <si>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</si>
  <si>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</si>
  <si>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</si>
  <si>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</si>
  <si>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</si>
  <si>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</si>
  <si>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</si>
  <si>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</si>
  <si>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</si>
  <si>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</si>
  <si>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</si>
  <si>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</si>
  <si>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</si>
  <si>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</si>
  <si>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</si>
  <si>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</si>
  <si>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</si>
  <si>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</si>
  <si>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</si>
  <si>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</si>
  <si>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</si>
  <si>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</si>
  <si>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</si>
  <si>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</si>
  <si>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</si>
  <si>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</si>
  <si>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</si>
  <si>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</si>
  <si>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</si>
  <si>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</si>
  <si>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</si>
  <si>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</si>
  <si>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</si>
  <si>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</si>
  <si>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</si>
  <si>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</si>
  <si>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</si>
  <si>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</si>
  <si>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</si>
  <si>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</si>
  <si>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</si>
  <si>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</si>
  <si>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</si>
  <si>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</si>
  <si>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</si>
  <si>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</si>
  <si>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</si>
  <si>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</si>
  <si>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</si>
  <si>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</si>
  <si>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</si>
  <si>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</si>
  <si>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</si>
  <si>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</si>
  <si>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</si>
  <si>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</si>
  <si>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</si>
  <si>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</si>
  <si>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</si>
  <si>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</si>
  <si>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</si>
  <si>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</si>
  <si>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</si>
  <si>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</si>
  <si>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</si>
  <si>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</si>
  <si>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</si>
  <si>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</si>
  <si>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</si>
  <si>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</si>
  <si>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</si>
  <si>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</si>
  <si>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</si>
  <si>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</si>
  <si>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</si>
  <si>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</si>
  <si>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</si>
  <si>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</si>
  <si>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</si>
  <si>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</si>
  <si>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</si>
  <si>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</si>
  <si>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</si>
  <si>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</si>
  <si>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</si>
  <si>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</si>
  <si>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</si>
  <si>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</si>
  <si>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</si>
  <si>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</si>
  <si>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</si>
  <si>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</si>
  <si>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</si>
  <si>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</si>
  <si>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</si>
  <si>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</si>
  <si>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</si>
  <si>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</si>
  <si>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</si>
  <si>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</si>
  <si>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</si>
  <si>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</si>
  <si>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</si>
  <si>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</si>
  <si>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</si>
  <si>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</si>
  <si>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</si>
  <si>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</si>
  <si>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</si>
  <si>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</si>
  <si>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</si>
  <si>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</si>
  <si>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</si>
  <si>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</si>
  <si>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</si>
  <si>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</si>
  <si>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</si>
  <si>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</si>
  <si>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</si>
  <si>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</si>
  <si>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</si>
  <si>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</si>
  <si>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</si>
  <si>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</si>
  <si>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</si>
  <si>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</si>
  <si>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</si>
  <si>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</si>
  <si>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</si>
  <si>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</si>
  <si>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</si>
  <si>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</si>
  <si>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</si>
  <si>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</si>
  <si>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</si>
  <si>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</si>
  <si>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</si>
  <si>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</si>
  <si>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</si>
  <si>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</si>
  <si>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</si>
  <si>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</si>
  <si>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</si>
  <si>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</si>
  <si>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</si>
  <si>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</si>
  <si>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</si>
  <si>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</si>
  <si>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</si>
  <si>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</si>
  <si>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</si>
  <si>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</si>
  <si>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</si>
  <si>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</si>
  <si>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</si>
  <si>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</si>
  <si>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</si>
  <si>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</si>
  <si>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</si>
  <si>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</si>
  <si>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</si>
  <si>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</si>
  <si>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</si>
  <si>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</si>
  <si>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</si>
  <si>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</si>
  <si>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</si>
  <si>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</si>
  <si>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</si>
  <si>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</si>
  <si>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</si>
  <si>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</si>
  <si>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</si>
  <si>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</si>
  <si>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</si>
  <si>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</si>
  <si>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</si>
  <si>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</si>
  <si>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</si>
  <si>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</si>
  <si>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</si>
  <si>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</si>
  <si>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</si>
  <si>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</si>
  <si>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</si>
  <si>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</si>
  <si>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</si>
  <si>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</si>
  <si>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</si>
  <si>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</si>
  <si>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</si>
  <si>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</si>
  <si>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</si>
  <si>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</si>
  <si>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</si>
  <si>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</si>
  <si>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</si>
  <si>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</si>
  <si>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</si>
  <si>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</si>
  <si>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</si>
  <si>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</si>
  <si>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</si>
  <si>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</si>
  <si>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</si>
  <si>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</si>
  <si>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</si>
  <si>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</si>
  <si>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</si>
  <si>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</si>
  <si>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</si>
  <si>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</si>
  <si>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</si>
  <si>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</si>
  <si>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</si>
  <si>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</si>
  <si>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</si>
  <si>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</si>
  <si>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</si>
  <si>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</si>
  <si>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</si>
  <si>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</si>
  <si>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</si>
  <si>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</si>
  <si>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</si>
  <si>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</si>
  <si>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</si>
  <si>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</si>
  <si>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</si>
  <si>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</si>
  <si>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</si>
  <si>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</si>
  <si>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</si>
  <si>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</si>
  <si>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</si>
  <si>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</si>
  <si>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</si>
  <si>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</si>
  <si>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</si>
  <si>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</si>
  <si>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</si>
  <si>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</si>
  <si>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</si>
  <si>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</si>
  <si>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</si>
  <si>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</si>
  <si>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</si>
  <si>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</si>
  <si>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</si>
  <si>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</si>
  <si>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</si>
  <si>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</si>
  <si>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</si>
  <si>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</si>
  <si>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</si>
  <si>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</si>
  <si>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</si>
  <si>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</si>
  <si>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</si>
  <si>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</si>
  <si>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</si>
  <si>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</si>
  <si>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</si>
  <si>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</si>
  <si>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</si>
  <si>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</si>
  <si>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</si>
  <si>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</si>
  <si>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</si>
  <si>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</si>
  <si>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</si>
  <si>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</si>
  <si>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</si>
  <si>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</si>
  <si>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</si>
  <si>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</si>
  <si>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</si>
  <si>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</si>
  <si>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</si>
  <si>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</si>
  <si>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</si>
  <si>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</si>
  <si>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</si>
  <si>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</si>
  <si>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</si>
  <si>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</si>
  <si>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</si>
  <si>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</si>
  <si>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</si>
  <si>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</si>
  <si>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</si>
  <si>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</si>
  <si>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</si>
  <si>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</si>
  <si>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</si>
  <si>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</si>
  <si>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</si>
  <si>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</si>
  <si>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</si>
  <si>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</si>
  <si>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</si>
  <si>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</si>
  <si>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</si>
  <si>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</si>
  <si>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</si>
  <si>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</si>
  <si>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</si>
  <si>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</si>
  <si>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</si>
  <si>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</si>
  <si>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</si>
  <si>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</si>
  <si>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</si>
  <si>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</si>
  <si>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</si>
  <si>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</si>
  <si>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</si>
  <si>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</si>
  <si>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</si>
  <si>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</si>
  <si>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</si>
  <si>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</si>
  <si>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</si>
  <si>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</si>
  <si>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</si>
  <si>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</si>
  <si>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</si>
  <si>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</si>
  <si>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</si>
  <si>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</si>
  <si>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</si>
  <si>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</si>
  <si>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</si>
  <si>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</si>
  <si>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</si>
  <si>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</si>
  <si>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</si>
  <si>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</si>
  <si>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</si>
  <si>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</si>
  <si>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</si>
  <si>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</si>
  <si>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</si>
  <si>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</si>
  <si>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</si>
  <si>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</si>
  <si>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</si>
  <si>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</si>
  <si>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</si>
  <si>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</si>
  <si>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</si>
  <si>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</si>
  <si>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</si>
  <si>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</si>
  <si>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</si>
  <si>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</si>
  <si>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</si>
  <si>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</si>
  <si>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</si>
  <si>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</si>
  <si>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</si>
  <si>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</si>
  <si>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</si>
  <si>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</si>
  <si>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</si>
  <si>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</si>
  <si>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</si>
  <si>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</si>
  <si>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</si>
  <si>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</si>
  <si>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</si>
  <si>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</si>
  <si>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</si>
  <si>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</si>
  <si>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</si>
  <si>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</si>
  <si>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</si>
  <si>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</si>
  <si>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</si>
  <si>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</si>
  <si>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</si>
  <si>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</si>
  <si>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</si>
  <si>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</si>
  <si>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</si>
  <si>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</si>
  <si>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</si>
  <si>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</si>
  <si>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</si>
  <si>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</si>
  <si>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</si>
  <si>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</si>
  <si>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</si>
  <si>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</si>
  <si>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</si>
  <si>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</si>
  <si>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</si>
  <si>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</si>
  <si>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</si>
  <si>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</si>
  <si>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</si>
  <si>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</si>
  <si>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</si>
  <si>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</si>
  <si>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</si>
  <si>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</si>
  <si>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</si>
  <si>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</si>
  <si>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</si>
  <si>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</si>
  <si>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</si>
  <si>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</si>
  <si>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</si>
  <si>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</si>
  <si>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</si>
  <si>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</si>
  <si>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</si>
  <si>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</si>
  <si>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</si>
  <si>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</si>
  <si>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</si>
  <si>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</si>
  <si>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</si>
  <si>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</si>
  <si>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</si>
  <si>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</si>
  <si>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</si>
  <si>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</si>
  <si>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</si>
  <si>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</si>
  <si>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</si>
  <si>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</si>
  <si>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</si>
  <si>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</si>
  <si>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</si>
  <si>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</si>
  <si>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</si>
  <si>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</si>
  <si>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</si>
  <si>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</si>
  <si>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</si>
  <si>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</si>
  <si>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</si>
  <si>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</si>
  <si>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</si>
  <si>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</si>
  <si>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</si>
  <si>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</si>
  <si>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</si>
  <si>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</si>
  <si>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</si>
  <si>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</si>
  <si>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</si>
  <si>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</si>
  <si>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</si>
  <si>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</si>
  <si>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</si>
  <si>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</si>
  <si>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</si>
  <si>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</si>
  <si>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</si>
  <si>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</si>
  <si>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</si>
  <si>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</si>
  <si>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</si>
  <si>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</si>
  <si>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</si>
  <si>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</si>
  <si>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</si>
  <si>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</si>
  <si>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</si>
  <si>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</si>
  <si>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</si>
  <si>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</si>
  <si>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</si>
  <si>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</si>
  <si>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</si>
  <si>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</si>
  <si>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</si>
  <si>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</si>
  <si>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</si>
  <si>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</si>
  <si>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</si>
  <si>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</si>
  <si>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</si>
  <si>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</si>
  <si>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</si>
  <si>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</si>
  <si>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</si>
  <si>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</si>
  <si>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</si>
  <si>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</si>
  <si>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</si>
  <si>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</si>
  <si>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</si>
  <si>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</si>
  <si>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</si>
  <si>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</si>
  <si>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</si>
  <si>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</si>
  <si>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</si>
  <si>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</si>
  <si>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</si>
  <si>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</si>
  <si>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</si>
  <si>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</si>
  <si>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</si>
  <si>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</si>
  <si>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</si>
  <si>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</si>
  <si>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</si>
  <si>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</si>
  <si>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</si>
  <si>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</si>
  <si>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</si>
  <si>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</si>
  <si>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</si>
  <si>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</si>
  <si>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</si>
  <si>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</si>
  <si>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</si>
  <si>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</si>
  <si>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</si>
  <si>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</si>
  <si>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</si>
  <si>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</si>
  <si>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</si>
  <si>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</si>
  <si>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</si>
  <si>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</si>
  <si>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</si>
  <si>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</si>
  <si>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</si>
  <si>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</si>
  <si>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</si>
  <si>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</si>
  <si>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</si>
  <si>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</si>
  <si>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</si>
  <si>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</si>
  <si>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</si>
  <si>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</si>
  <si>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</si>
  <si>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</si>
  <si>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</si>
  <si>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</si>
  <si>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</si>
  <si>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</si>
  <si>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</si>
  <si>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</si>
  <si>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</si>
  <si>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</si>
  <si>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</si>
  <si>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</si>
  <si>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</si>
  <si>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</si>
  <si>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</si>
  <si>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</si>
  <si>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</si>
  <si>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</si>
  <si>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</si>
  <si>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</si>
  <si>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</si>
  <si>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</si>
  <si>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</si>
  <si>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</si>
  <si>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</si>
  <si>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</si>
  <si>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</si>
  <si>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</si>
  <si>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</si>
  <si>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</si>
  <si>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</si>
  <si>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</si>
  <si>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</si>
  <si>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</si>
  <si>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</si>
  <si>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</si>
  <si>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</si>
  <si>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</si>
  <si>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</si>
  <si>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</si>
  <si>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</si>
  <si>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</si>
  <si>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</si>
  <si>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</si>
  <si>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</si>
  <si>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</si>
  <si>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</si>
  <si>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</si>
  <si>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</si>
  <si>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</si>
  <si>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</si>
  <si>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</si>
  <si>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</si>
  <si>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</si>
  <si>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</si>
  <si>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</si>
  <si>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</si>
  <si>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</si>
  <si>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</si>
  <si>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</si>
  <si>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</si>
  <si>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</si>
  <si>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</si>
  <si>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</si>
  <si>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</si>
  <si>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</si>
  <si>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</si>
  <si>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</si>
  <si>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</si>
  <si>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</si>
  <si>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</si>
  <si>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</si>
  <si>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</si>
  <si>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</si>
  <si>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</si>
  <si>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</si>
  <si>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</si>
  <si>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</si>
  <si>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</si>
  <si>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</si>
  <si>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</si>
  <si>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</si>
  <si>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</si>
  <si>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</si>
  <si>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</si>
  <si>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</si>
  <si>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</si>
  <si>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</si>
  <si>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</si>
  <si>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</si>
  <si>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</si>
  <si>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</si>
  <si>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</si>
  <si>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</si>
  <si>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</si>
  <si>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</si>
  <si>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</si>
  <si>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</si>
  <si>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</si>
  <si>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</si>
  <si>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</si>
  <si>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</si>
  <si>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</si>
  <si>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</si>
  <si>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</si>
  <si>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</si>
  <si>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</si>
  <si>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</si>
  <si>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</si>
  <si>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</si>
  <si>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</si>
  <si>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</si>
  <si>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</si>
  <si>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</si>
  <si>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</si>
  <si>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</si>
  <si>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</si>
  <si>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</si>
  <si>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</si>
  <si>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</si>
  <si>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</si>
  <si>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</si>
  <si>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</si>
  <si>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</si>
  <si>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</si>
  <si>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</si>
  <si>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</si>
  <si>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</si>
  <si>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</si>
  <si>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</si>
  <si>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</si>
  <si>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</si>
  <si>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</si>
  <si>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</si>
  <si>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</si>
  <si>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</si>
  <si>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</si>
  <si>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</si>
  <si>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</si>
  <si>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</si>
  <si>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</si>
  <si>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</si>
  <si>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</si>
  <si>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</si>
  <si>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</si>
  <si>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</si>
  <si>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</si>
  <si>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</si>
  <si>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</si>
  <si>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</si>
  <si>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</si>
  <si>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</si>
  <si>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</si>
  <si>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</si>
  <si>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</si>
  <si>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</si>
  <si>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</si>
  <si>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</si>
  <si>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</si>
  <si>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</si>
  <si>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</si>
  <si>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</si>
  <si>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</si>
  <si>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</si>
  <si>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</si>
  <si>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</si>
  <si>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</si>
  <si>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</si>
  <si>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</si>
  <si>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</si>
  <si>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</si>
  <si>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</si>
  <si>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</si>
  <si>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</si>
  <si>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</si>
  <si>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</si>
  <si>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</si>
  <si>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</si>
  <si>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</si>
  <si>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</si>
  <si>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</si>
  <si>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</si>
  <si>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</si>
  <si>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</si>
  <si>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</si>
  <si>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</si>
  <si>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</si>
  <si>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</si>
  <si>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</si>
  <si>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</si>
  <si>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</si>
  <si>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</si>
  <si>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</si>
  <si>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</si>
  <si>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</si>
  <si>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</si>
  <si>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</si>
  <si>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</si>
  <si>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</si>
  <si>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</si>
  <si>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</si>
  <si>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</si>
  <si>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</si>
  <si>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</si>
  <si>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</si>
  <si>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</si>
  <si>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</si>
  <si>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</si>
  <si>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</si>
  <si>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</si>
  <si>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</si>
  <si>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</si>
  <si>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</si>
  <si>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</si>
  <si>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</si>
  <si>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</si>
  <si>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</si>
  <si>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</si>
  <si>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</si>
  <si>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</si>
  <si>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</si>
  <si>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</si>
  <si>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</si>
  <si>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</si>
  <si>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</si>
  <si>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</si>
  <si>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</si>
  <si>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</si>
  <si>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</si>
  <si>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</si>
  <si>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</si>
  <si>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</si>
  <si>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</si>
  <si>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</si>
  <si>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</si>
  <si>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</si>
  <si>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</si>
  <si>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</si>
  <si>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</si>
  <si>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</si>
  <si>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</si>
  <si>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</si>
  <si>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</si>
  <si>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</si>
  <si>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</si>
  <si>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</si>
  <si>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</si>
  <si>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</si>
  <si>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</si>
  <si>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</si>
  <si>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</si>
  <si>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</si>
  <si>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</si>
  <si>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</si>
  <si>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</si>
  <si>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</si>
  <si>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</si>
  <si>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</si>
  <si>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</si>
  <si>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</si>
  <si>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</si>
  <si>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</si>
  <si>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</si>
  <si>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</si>
  <si>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</si>
  <si>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</si>
  <si>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</si>
  <si>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</si>
  <si>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</si>
  <si>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</si>
  <si>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</si>
  <si>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</si>
  <si>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</si>
  <si>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</si>
  <si>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</si>
  <si>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</si>
  <si>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</si>
  <si>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</si>
  <si>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</si>
  <si>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</si>
  <si>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</si>
  <si>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</si>
  <si>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</si>
  <si>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</si>
  <si>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</si>
  <si>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</si>
  <si>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</si>
  <si>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</si>
  <si>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</si>
  <si>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</si>
  <si>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</si>
  <si>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</si>
  <si>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</si>
  <si>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</si>
  <si>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</si>
  <si>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</si>
  <si>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</si>
  <si>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</si>
  <si>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</si>
  <si>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</si>
  <si>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</si>
  <si>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</si>
  <si>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</si>
  <si>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</si>
  <si>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</si>
  <si>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</si>
  <si>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</si>
  <si>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</si>
  <si>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</si>
  <si>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</si>
  <si>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</si>
  <si>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</si>
  <si>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</si>
  <si>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</si>
  <si>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</si>
  <si>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</si>
  <si>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</si>
  <si>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</si>
  <si>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</si>
  <si>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</si>
  <si>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</si>
  <si>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</si>
  <si>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</si>
  <si>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</si>
  <si>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</si>
  <si>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</si>
  <si>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</si>
  <si>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</si>
  <si>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</si>
  <si>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</si>
  <si>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</si>
  <si>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</si>
  <si>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</si>
  <si>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</si>
  <si>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</si>
  <si>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</si>
  <si>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</si>
  <si>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</si>
  <si>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</si>
  <si>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</si>
  <si>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</si>
  <si>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</si>
  <si>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</si>
  <si>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</si>
  <si>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</si>
  <si>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</si>
  <si>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</si>
  <si>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</si>
  <si>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</si>
  <si>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</si>
  <si>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</si>
  <si>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</si>
  <si>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</si>
  <si>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</si>
  <si>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</si>
  <si>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</si>
  <si>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</si>
  <si>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</si>
  <si>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</si>
  <si>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</si>
  <si>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</si>
  <si>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</si>
  <si>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</si>
  <si>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</si>
  <si>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</si>
  <si>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</si>
  <si>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</si>
  <si>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</si>
  <si>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</si>
  <si>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</si>
  <si>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</si>
  <si>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</si>
  <si>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</si>
  <si>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</si>
  <si>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</si>
  <si>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</si>
  <si>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</si>
  <si>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</si>
  <si>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</si>
  <si>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</si>
  <si>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</si>
  <si>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</si>
  <si>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</si>
  <si>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</si>
  <si>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</si>
  <si>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</si>
  <si>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</si>
  <si>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</si>
  <si>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</si>
  <si>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</si>
  <si>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</si>
  <si>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</si>
  <si>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</si>
  <si>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</si>
  <si>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</si>
  <si>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</si>
  <si>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</si>
  <si>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</si>
  <si>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</si>
  <si>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</si>
  <si>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</si>
  <si>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</si>
  <si>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</si>
  <si>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</si>
  <si>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</si>
  <si>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</si>
  <si>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</si>
  <si>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</si>
  <si>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</si>
  <si>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</si>
  <si>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</si>
  <si>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</si>
  <si>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</si>
  <si>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</si>
  <si>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</si>
  <si>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</si>
  <si>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</si>
  <si>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</si>
  <si>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</si>
  <si>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</si>
  <si>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</si>
  <si>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</si>
  <si>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</si>
  <si>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</si>
  <si>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</si>
  <si>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</si>
  <si>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</si>
  <si>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</si>
  <si>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</si>
  <si>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</si>
  <si>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</si>
  <si>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</si>
  <si>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</si>
  <si>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</si>
  <si>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</si>
  <si>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</si>
  <si>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</si>
  <si>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</si>
  <si>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</si>
  <si>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</si>
  <si>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</si>
  <si>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</si>
  <si>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</si>
  <si>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</si>
  <si>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</si>
  <si>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</si>
  <si>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</si>
  <si>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</si>
  <si>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</si>
  <si>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</si>
  <si>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</si>
  <si>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</si>
  <si>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</si>
  <si>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</si>
  <si>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</si>
  <si>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</si>
  <si>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</si>
  <si>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</si>
  <si>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</si>
  <si>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</si>
  <si>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</si>
  <si>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</si>
  <si>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</si>
  <si>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</si>
  <si>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</si>
  <si>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</si>
  <si>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</si>
  <si>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</si>
  <si>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</si>
  <si>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</si>
  <si>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</si>
  <si>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</si>
  <si>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</si>
  <si>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</si>
  <si>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</si>
  <si>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</si>
  <si>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</si>
  <si>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</si>
  <si>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</si>
  <si>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</si>
  <si>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</si>
  <si>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</si>
  <si>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</si>
  <si>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</si>
  <si>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</si>
  <si>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</si>
  <si>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</si>
  <si>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</si>
  <si>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</si>
  <si>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</si>
  <si>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</si>
  <si>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</si>
  <si>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</si>
  <si>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</si>
  <si>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</si>
  <si>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</si>
  <si>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</si>
  <si>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</si>
  <si>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</si>
  <si>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</si>
  <si>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</si>
  <si>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</si>
  <si>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</si>
  <si>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</si>
  <si>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</si>
  <si>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</si>
  <si>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</si>
  <si>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</si>
  <si>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</si>
  <si>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</si>
  <si>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</si>
  <si>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</si>
  <si>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</si>
  <si>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</si>
  <si>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</si>
  <si>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</si>
  <si>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</si>
  <si>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</si>
  <si>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</si>
  <si>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</si>
  <si>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</si>
  <si>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</si>
  <si>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</si>
  <si>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</si>
  <si>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</si>
  <si>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</si>
  <si>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</si>
  <si>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</si>
  <si>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</si>
  <si>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</si>
  <si>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</si>
  <si>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</si>
  <si>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</si>
  <si>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</si>
  <si>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</si>
  <si>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</si>
  <si>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</si>
  <si>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</si>
  <si>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</si>
  <si>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</si>
  <si>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</si>
  <si>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</si>
  <si>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</si>
  <si>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</si>
  <si>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</si>
  <si>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</si>
  <si>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</si>
  <si>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</si>
  <si>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</si>
  <si>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</si>
  <si>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</si>
  <si>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</si>
  <si>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</si>
  <si>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</si>
  <si>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</si>
  <si>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</si>
  <si>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</si>
  <si>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</si>
  <si>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</si>
  <si>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</si>
  <si>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</si>
  <si>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</si>
  <si>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</si>
  <si>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</si>
  <si>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</si>
  <si>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</si>
  <si>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</si>
  <si>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</si>
  <si>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</si>
  <si>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</si>
  <si>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</si>
  <si>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</si>
  <si>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</si>
  <si>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</si>
  <si>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</si>
  <si>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</si>
  <si>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</si>
  <si>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</si>
  <si>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</si>
  <si>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</si>
  <si>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</si>
  <si>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</si>
  <si>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</si>
  <si>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</si>
  <si>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</si>
  <si>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</si>
  <si>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</si>
  <si>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</si>
  <si>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</si>
  <si>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</si>
  <si>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</si>
  <si>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</si>
  <si>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</si>
  <si>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</si>
  <si>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</si>
  <si>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</si>
  <si>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</si>
  <si>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</si>
  <si>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</si>
  <si>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</si>
  <si>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</si>
  <si>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</si>
  <si>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</si>
  <si>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</si>
  <si>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</si>
  <si>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</si>
  <si>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</si>
  <si>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</si>
  <si>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</si>
  <si>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</si>
  <si>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</si>
  <si>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</si>
  <si>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</si>
  <si>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</si>
  <si>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</si>
  <si>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</si>
  <si>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</si>
  <si>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</si>
  <si>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</si>
  <si>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</si>
  <si>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</si>
  <si>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</si>
  <si>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</si>
  <si>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</si>
  <si>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</si>
  <si>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</si>
  <si>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</si>
  <si>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</si>
  <si>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</si>
  <si>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</si>
  <si>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</si>
  <si>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</si>
  <si>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</si>
  <si>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</si>
  <si>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</si>
  <si>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</si>
  <si>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</si>
  <si>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</si>
  <si>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</si>
  <si>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</si>
  <si>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</si>
  <si>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</si>
  <si>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</si>
  <si>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</si>
  <si>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</si>
  <si>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</si>
  <si>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</si>
  <si>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</si>
  <si>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</si>
  <si>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</si>
  <si>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</si>
  <si>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</si>
  <si>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</si>
  <si>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</si>
  <si>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</si>
  <si>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</si>
  <si>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</si>
  <si>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</si>
  <si>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</si>
  <si>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</si>
  <si>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</si>
  <si>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</si>
  <si>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</si>
  <si>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</si>
  <si>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</si>
  <si>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</si>
  <si>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</si>
  <si>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</si>
  <si>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</si>
  <si>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</si>
  <si>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</si>
  <si>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</si>
  <si>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</si>
  <si>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</si>
  <si>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</si>
  <si>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</si>
  <si>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</si>
  <si>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</si>
  <si>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</si>
  <si>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</si>
  <si>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</si>
  <si>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</si>
  <si>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</si>
  <si>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</si>
  <si>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</si>
  <si>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</si>
  <si>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</si>
  <si>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</si>
  <si>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</si>
  <si>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</si>
  <si>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</si>
  <si>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</si>
  <si>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</si>
  <si>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</si>
  <si>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</si>
  <si>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</si>
  <si>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</si>
  <si>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</si>
  <si>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</si>
  <si>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</si>
  <si>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</si>
  <si>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</si>
  <si>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</si>
  <si>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</si>
  <si>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</si>
  <si>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</si>
  <si>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</si>
  <si>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</si>
  <si>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</si>
  <si>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</si>
  <si>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</si>
  <si>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</si>
  <si>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</si>
  <si>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</si>
  <si>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</si>
  <si>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</si>
  <si>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</si>
  <si>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</si>
  <si>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</si>
  <si>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</si>
  <si>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</si>
  <si>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</si>
  <si>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</si>
  <si>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</si>
  <si>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</si>
  <si>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</si>
  <si>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</si>
  <si>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</si>
  <si>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</si>
  <si>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</si>
  <si>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</si>
  <si>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</si>
  <si>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</si>
  <si>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</si>
  <si>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</si>
  <si>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</si>
  <si>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</si>
  <si>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</si>
  <si>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</si>
  <si>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</si>
  <si>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</si>
  <si>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</si>
  <si>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</si>
  <si>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</si>
  <si>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</si>
  <si>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</si>
  <si>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</si>
  <si>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</si>
  <si>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</si>
  <si>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</si>
  <si>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</si>
  <si>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</si>
  <si>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</si>
  <si>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</si>
  <si>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</si>
  <si>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</si>
  <si>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</si>
  <si>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</si>
  <si>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</si>
  <si>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</si>
  <si>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</si>
  <si>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</si>
  <si>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</si>
  <si>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</si>
  <si>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</si>
  <si>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</si>
  <si>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</si>
  <si>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</si>
  <si>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</si>
  <si>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</si>
  <si>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</si>
  <si>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</si>
  <si>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</si>
  <si>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</si>
  <si>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</si>
  <si>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</si>
  <si>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</si>
  <si>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</si>
  <si>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</si>
  <si>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</si>
  <si>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</si>
  <si>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</si>
  <si>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</si>
  <si>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</si>
  <si>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</si>
  <si>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</si>
  <si>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</si>
  <si>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</si>
  <si>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</si>
  <si>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</si>
  <si>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</si>
  <si>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</si>
  <si>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</si>
  <si>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</si>
  <si>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</si>
  <si>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</si>
  <si>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</si>
  <si>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</si>
  <si>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</si>
  <si>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</si>
  <si>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</si>
  <si>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</si>
  <si>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</si>
  <si>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</si>
  <si>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</si>
  <si>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</si>
  <si>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</si>
  <si>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</si>
  <si>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</si>
  <si>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</si>
  <si>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</si>
  <si>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</si>
  <si>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</si>
  <si>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</si>
  <si>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</si>
  <si>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</si>
  <si>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</si>
  <si>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</si>
  <si>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</si>
  <si>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</si>
  <si>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</si>
  <si>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</si>
  <si>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</si>
  <si>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</si>
  <si>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</si>
  <si>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</si>
  <si>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</si>
  <si>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</si>
  <si>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</si>
  <si>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</si>
  <si>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</si>
  <si>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</si>
  <si>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</si>
  <si>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</si>
  <si>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</si>
  <si>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</si>
  <si>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</si>
  <si>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</si>
  <si>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</si>
  <si>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</si>
  <si>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</si>
  <si>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</si>
  <si>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</si>
  <si>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</si>
  <si>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</si>
  <si>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</si>
  <si>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</si>
  <si>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</si>
  <si>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</si>
  <si>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</si>
  <si>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</si>
  <si>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</si>
  <si>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</si>
  <si>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</si>
  <si>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</si>
  <si>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</si>
  <si>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</si>
  <si>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</si>
  <si>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</si>
  <si>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</si>
  <si>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</si>
  <si>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</si>
  <si>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</si>
  <si>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</si>
  <si>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</si>
  <si>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</si>
  <si>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</si>
  <si>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</si>
  <si>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</si>
  <si>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</si>
  <si>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</si>
  <si>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</si>
  <si>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</si>
  <si>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</si>
  <si>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</si>
  <si>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</si>
  <si>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</si>
  <si>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</si>
  <si>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</si>
  <si>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</si>
  <si>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</si>
  <si>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</si>
  <si>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</si>
  <si>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</si>
  <si>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</si>
  <si>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</si>
  <si>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</si>
  <si>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</si>
  <si>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</si>
  <si>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</si>
  <si>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</si>
  <si>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</si>
  <si>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</si>
  <si>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</si>
  <si>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</si>
  <si>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</si>
  <si>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</si>
  <si>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</si>
  <si>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</si>
  <si>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</si>
  <si>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</si>
  <si>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</si>
  <si>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</si>
  <si>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</si>
  <si>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</si>
  <si>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</si>
  <si>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</si>
  <si>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</si>
  <si>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</si>
  <si>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</si>
  <si>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</si>
  <si>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</si>
  <si>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</si>
  <si>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</si>
  <si>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</si>
  <si>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</si>
  <si>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</si>
  <si>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</si>
  <si>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</si>
  <si>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</si>
  <si>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</si>
  <si>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</si>
  <si>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</si>
  <si>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</si>
  <si>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</si>
  <si>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</si>
  <si>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</si>
  <si>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</si>
  <si>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</si>
  <si>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</si>
  <si>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</si>
  <si>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</si>
  <si>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</si>
  <si>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</si>
  <si>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</si>
  <si>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</si>
  <si>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</si>
  <si>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</si>
  <si>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</si>
  <si>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</si>
  <si>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</si>
  <si>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</si>
  <si>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</si>
  <si>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</si>
  <si>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</si>
  <si>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</si>
  <si>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</si>
  <si>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</si>
  <si>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</si>
  <si>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</si>
  <si>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</si>
  <si>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</si>
  <si>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</si>
  <si>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</si>
  <si>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</si>
  <si>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</si>
  <si>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</si>
  <si>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</si>
  <si>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</si>
  <si>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</si>
  <si>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</si>
  <si>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</si>
  <si>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</si>
  <si>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</si>
  <si>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</si>
  <si>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</si>
  <si>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</si>
  <si>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</si>
  <si>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</si>
  <si>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</si>
  <si>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</si>
  <si>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</si>
  <si>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</si>
  <si>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</si>
  <si>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</si>
  <si>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</si>
  <si>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</si>
  <si>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</si>
  <si>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</si>
  <si>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</si>
  <si>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</si>
  <si>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</si>
  <si>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</si>
  <si>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</si>
  <si>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</si>
  <si>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</si>
  <si>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</si>
  <si>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</si>
  <si>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</si>
  <si>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</si>
  <si>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</si>
  <si>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</si>
  <si>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</si>
  <si>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</si>
  <si>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</si>
  <si>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</si>
  <si>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</si>
  <si>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</si>
  <si>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</si>
  <si>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</si>
  <si>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</si>
  <si>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</si>
  <si>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</si>
  <si>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</si>
  <si>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</si>
  <si>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</si>
  <si>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</si>
  <si>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</si>
  <si>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</si>
  <si>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</si>
  <si>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</si>
  <si>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</si>
  <si>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</si>
  <si>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</si>
  <si>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</si>
  <si>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</si>
  <si>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</si>
  <si>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</si>
  <si>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</si>
  <si>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</si>
  <si>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</si>
  <si>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</si>
  <si>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</si>
  <si>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</si>
  <si>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</si>
  <si>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</si>
  <si>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</si>
  <si>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</si>
  <si>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</si>
  <si>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</si>
  <si>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</si>
  <si>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</si>
  <si>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</si>
  <si>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</si>
  <si>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</si>
  <si>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</si>
  <si>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</si>
  <si>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</si>
  <si>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</si>
  <si>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</si>
  <si>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</si>
  <si>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</si>
  <si>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</si>
  <si>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</si>
  <si>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</si>
  <si>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</si>
  <si>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</si>
  <si>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</si>
  <si>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</si>
  <si>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</si>
  <si>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</si>
  <si>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</si>
  <si>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</si>
  <si>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</si>
  <si>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</si>
  <si>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</si>
  <si>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</si>
  <si>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</si>
  <si>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</si>
  <si>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</si>
  <si>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</si>
  <si>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</si>
  <si>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</si>
  <si>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</si>
  <si>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</si>
  <si>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</si>
  <si>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</si>
  <si>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</si>
  <si>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</si>
  <si>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</si>
  <si>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</si>
  <si>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</si>
  <si>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</si>
  <si>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</si>
  <si>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</si>
  <si>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</si>
  <si>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</si>
  <si>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</si>
  <si>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</si>
  <si>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</si>
  <si>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</si>
  <si>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</si>
  <si>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</si>
  <si>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</si>
  <si>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</si>
  <si>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</si>
  <si>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</si>
  <si>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</si>
  <si>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</si>
  <si>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</si>
  <si>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</si>
  <si>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</si>
  <si>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</si>
  <si>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</si>
  <si>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</si>
  <si>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</si>
  <si>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</si>
  <si>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</si>
  <si>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</si>
  <si>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</si>
  <si>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</si>
  <si>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</si>
  <si>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</si>
  <si>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</si>
  <si>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</si>
  <si>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</si>
  <si>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</si>
  <si>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</si>
  <si>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</si>
  <si>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</si>
  <si>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</si>
  <si>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</si>
  <si>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</si>
  <si>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</si>
  <si>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</si>
  <si>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</si>
  <si>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</si>
  <si>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</si>
  <si>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</si>
  <si>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</si>
  <si>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</si>
  <si>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</si>
  <si>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</si>
  <si>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</si>
  <si>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</si>
  <si>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</si>
  <si>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</si>
  <si>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</si>
  <si>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</si>
  <si>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</si>
  <si>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</si>
  <si>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</si>
  <si>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</si>
  <si>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</si>
  <si>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</si>
  <si>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</si>
  <si>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</si>
  <si>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</si>
  <si>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</si>
  <si>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</si>
  <si>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</si>
  <si>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</si>
  <si>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</si>
  <si>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</si>
  <si>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</si>
  <si>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</si>
  <si>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</si>
  <si>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</si>
  <si>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</si>
  <si>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</si>
  <si>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</si>
  <si>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</si>
  <si>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</si>
  <si>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</si>
  <si>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</si>
  <si>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</si>
  <si>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</si>
  <si>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</si>
  <si>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</si>
  <si>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</si>
  <si>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</si>
  <si>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</si>
  <si>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</si>
  <si>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</si>
  <si>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</si>
  <si>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</si>
  <si>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</si>
  <si>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</si>
  <si>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</si>
  <si>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</si>
  <si>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</si>
  <si>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</si>
  <si>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</si>
  <si>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</si>
  <si>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</si>
  <si>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</si>
  <si>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</si>
  <si>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</si>
  <si>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</si>
  <si>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</si>
  <si>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</si>
  <si>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</si>
  <si>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</si>
  <si>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</si>
  <si>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</si>
  <si>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</si>
  <si>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</si>
  <si>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</si>
  <si>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</si>
  <si>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</si>
  <si>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</si>
  <si>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</si>
  <si>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</si>
  <si>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</si>
  <si>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</si>
  <si>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</si>
  <si>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</si>
  <si>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</si>
  <si>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</si>
  <si>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</si>
  <si>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</si>
  <si>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</si>
  <si>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</si>
  <si>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</si>
  <si>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</si>
  <si>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</si>
  <si>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</si>
  <si>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</si>
  <si>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</si>
  <si>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</si>
  <si>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</si>
  <si>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</si>
  <si>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</si>
  <si>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</si>
  <si>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</si>
  <si>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</si>
  <si>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</si>
  <si>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</si>
  <si>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</si>
  <si>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</si>
  <si>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</si>
  <si>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</si>
  <si>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</si>
  <si>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</si>
  <si>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</si>
  <si>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</si>
  <si>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</si>
  <si>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</si>
  <si>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</si>
  <si>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</si>
  <si>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</si>
  <si>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</si>
  <si>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</si>
  <si>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</si>
  <si>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</si>
  <si>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</si>
  <si>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</si>
  <si>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</si>
  <si>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</si>
  <si>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</si>
  <si>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</si>
  <si>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</si>
  <si>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</si>
  <si>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</si>
  <si>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</si>
  <si>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</si>
  <si>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</si>
  <si>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</si>
  <si>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</si>
  <si>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</si>
  <si>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</si>
  <si>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</si>
  <si>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</si>
  <si>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</si>
  <si>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</si>
  <si>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</si>
  <si>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</si>
  <si>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</si>
  <si>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</si>
  <si>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</si>
  <si>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</si>
  <si>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</si>
  <si>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</si>
  <si>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</si>
  <si>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</si>
  <si>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</si>
  <si>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</si>
  <si>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</si>
  <si>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</si>
  <si>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</si>
  <si>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</si>
  <si>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</si>
  <si>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</si>
  <si>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</si>
  <si>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</si>
  <si>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</si>
  <si>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</si>
  <si>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</si>
  <si>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</si>
  <si>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</si>
  <si>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</si>
  <si>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</si>
  <si>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</si>
  <si>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</si>
  <si>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</si>
  <si>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</si>
  <si>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</si>
  <si>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</si>
  <si>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</si>
  <si>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</si>
  <si>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</si>
  <si>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</si>
  <si>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</si>
  <si>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</si>
  <si>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</si>
  <si>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</si>
  <si>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</si>
  <si>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</si>
  <si>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</si>
  <si>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</si>
  <si>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</si>
  <si>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</si>
  <si>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</si>
  <si>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</si>
  <si>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</si>
  <si>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</si>
  <si>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</si>
  <si>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</si>
  <si>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</si>
  <si>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</si>
  <si>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</si>
  <si>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</si>
  <si>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</si>
  <si>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</si>
  <si>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</si>
  <si>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</si>
  <si>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</si>
  <si>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</si>
  <si>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</si>
  <si>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</si>
  <si>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</si>
  <si>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</si>
  <si>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</si>
  <si>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</si>
  <si>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</si>
  <si>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</si>
  <si>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</si>
  <si>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</si>
  <si>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</si>
  <si>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</si>
  <si>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</si>
  <si>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</si>
  <si>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</si>
  <si>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</si>
  <si>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</si>
  <si>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</si>
  <si>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</si>
  <si>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</si>
  <si>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</si>
  <si>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</si>
  <si>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</si>
  <si>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</si>
  <si>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</si>
  <si>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</si>
  <si>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</si>
  <si>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</si>
  <si>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</si>
  <si>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</si>
  <si>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</si>
  <si>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</si>
  <si>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</si>
  <si>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</si>
  <si>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</si>
  <si>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</si>
  <si>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</si>
  <si>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</si>
  <si>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</si>
  <si>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</si>
  <si>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</si>
  <si>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</si>
  <si>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</si>
  <si>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</si>
  <si>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</si>
  <si>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</si>
  <si>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</si>
  <si>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</si>
  <si>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</si>
  <si>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</si>
  <si>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</si>
  <si>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</si>
  <si>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</si>
  <si>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</si>
  <si>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</si>
  <si>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</si>
  <si>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</si>
  <si>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</si>
  <si>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</si>
  <si>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</si>
  <si>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</si>
  <si>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</si>
  <si>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</si>
  <si>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</si>
  <si>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</si>
  <si>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</si>
  <si>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</si>
  <si>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</si>
  <si>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</si>
  <si>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</si>
  <si>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</si>
  <si>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</si>
  <si>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</si>
  <si>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</si>
  <si>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</si>
  <si>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</si>
  <si>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</si>
  <si>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</si>
  <si>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</si>
  <si>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</si>
  <si>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</si>
  <si>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</si>
  <si>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</si>
  <si>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</si>
  <si>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</si>
  <si>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</si>
  <si>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</si>
  <si>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</si>
  <si>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</si>
  <si>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</si>
  <si>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</si>
  <si>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</si>
  <si>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</si>
  <si>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</si>
  <si>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</si>
  <si>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</si>
  <si>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</si>
  <si>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</si>
  <si>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</si>
  <si>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</si>
  <si>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</si>
  <si>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</si>
  <si>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</si>
  <si>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</si>
  <si>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</si>
  <si>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</si>
  <si>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</si>
  <si>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</si>
  <si>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</si>
  <si>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</si>
  <si>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</si>
  <si>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</si>
  <si>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</si>
  <si>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</si>
  <si>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</si>
  <si>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</si>
  <si>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</si>
  <si>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</si>
  <si>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</si>
  <si>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</si>
  <si>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</si>
  <si>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</si>
  <si>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</si>
  <si>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</si>
  <si>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</si>
  <si>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</si>
  <si>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</si>
  <si>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</si>
  <si>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</si>
  <si>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</si>
  <si>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</si>
  <si>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</si>
  <si>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</si>
  <si>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</si>
  <si>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</si>
  <si>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</si>
  <si>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</si>
  <si>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</si>
  <si>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</si>
  <si>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</si>
  <si>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</si>
  <si>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</si>
  <si>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</si>
  <si>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</si>
  <si>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</si>
  <si>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</si>
  <si>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</si>
  <si>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</si>
  <si>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</si>
  <si>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</si>
  <si>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</si>
  <si>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</si>
  <si>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</si>
  <si>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</si>
  <si>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</si>
  <si>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</si>
  <si>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</si>
  <si>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</si>
  <si>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</si>
  <si>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</si>
  <si>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</si>
  <si>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</si>
  <si>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</si>
  <si>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</si>
  <si>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</si>
  <si>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</si>
  <si>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</si>
  <si>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</si>
  <si>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</si>
  <si>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</si>
  <si>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</si>
  <si>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</si>
  <si>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</si>
  <si>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</si>
  <si>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</si>
  <si>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</si>
  <si>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</si>
  <si>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</si>
  <si>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</si>
  <si>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</si>
  <si>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</si>
  <si>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</si>
  <si>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</si>
  <si>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</si>
  <si>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</si>
  <si>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</si>
  <si>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</si>
  <si>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</si>
  <si>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</si>
  <si>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</si>
  <si>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</si>
  <si>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</si>
  <si>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</si>
  <si>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</si>
  <si>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</si>
  <si>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</si>
  <si>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</si>
  <si>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</si>
  <si>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</si>
  <si>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</si>
  <si>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</si>
  <si>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</si>
  <si>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</si>
  <si>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</si>
  <si>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</si>
  <si>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</si>
  <si>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</si>
  <si>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</si>
  <si>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</si>
  <si>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</si>
  <si>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</si>
  <si>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</si>
  <si>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</si>
  <si>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</si>
  <si>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</si>
  <si>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</si>
  <si>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</si>
  <si>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</si>
  <si>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</si>
  <si>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</si>
  <si>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</si>
  <si>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</si>
  <si>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</si>
  <si>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</si>
  <si>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</si>
  <si>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</si>
  <si>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</si>
  <si>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</si>
  <si>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</si>
  <si>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</si>
  <si>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</si>
  <si>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</si>
  <si>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</si>
  <si>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</si>
  <si>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</si>
  <si>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</si>
  <si>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</si>
  <si>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</si>
  <si>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</si>
  <si>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</si>
  <si>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</si>
  <si>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</si>
  <si>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</si>
  <si>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</si>
  <si>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</si>
  <si>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</si>
  <si>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</si>
  <si>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</si>
  <si>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</si>
  <si>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</si>
  <si>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</si>
  <si>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</si>
  <si>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</si>
  <si>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</si>
  <si>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</si>
  <si>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</si>
  <si>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</si>
  <si>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</si>
  <si>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</si>
  <si>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</si>
  <si>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</si>
  <si>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</si>
  <si>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</si>
  <si>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</si>
  <si>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</si>
  <si>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</si>
  <si>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</si>
  <si>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</si>
  <si>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</si>
  <si>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</si>
  <si>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</si>
  <si>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</si>
  <si>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</si>
  <si>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</si>
  <si>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</si>
  <si>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</si>
  <si>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</si>
  <si>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</si>
  <si>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</si>
  <si>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</si>
  <si>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</si>
  <si>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</si>
  <si>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</si>
  <si>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</si>
  <si>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</si>
  <si>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</si>
  <si>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</si>
  <si>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</si>
  <si>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</si>
  <si>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</si>
  <si>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</si>
  <si>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</si>
  <si>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</si>
  <si>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</si>
  <si>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</si>
  <si>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</si>
  <si>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</si>
  <si>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</si>
  <si>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</si>
  <si>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</si>
  <si>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</si>
  <si>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</si>
  <si>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</si>
  <si>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</si>
  <si>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</si>
  <si>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</si>
  <si>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</si>
  <si>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</si>
  <si>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</si>
  <si>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</si>
  <si>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</si>
  <si>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</si>
  <si>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</si>
  <si>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</si>
  <si>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</si>
  <si>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</si>
  <si>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</si>
  <si>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</si>
  <si>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</si>
  <si>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</si>
  <si>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</si>
  <si>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</si>
  <si>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</si>
  <si>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</si>
  <si>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</si>
  <si>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</si>
  <si>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</si>
  <si>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</si>
  <si>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</si>
  <si>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</si>
  <si>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</si>
  <si>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</si>
  <si>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</si>
  <si>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</si>
  <si>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</si>
  <si>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</si>
  <si>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</si>
  <si>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</si>
  <si>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</si>
  <si>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</si>
  <si>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</si>
  <si>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</si>
  <si>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</si>
  <si>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</si>
  <si>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</si>
  <si>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</si>
  <si>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</si>
  <si>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</si>
  <si>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</si>
  <si>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</si>
  <si>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</si>
  <si>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</si>
  <si>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</si>
  <si>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</si>
  <si>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</si>
  <si>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</si>
  <si>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</si>
  <si>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</si>
  <si>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</si>
  <si>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</si>
  <si>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</si>
  <si>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</si>
  <si>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</si>
  <si>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</si>
  <si>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</si>
  <si>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</si>
  <si>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</si>
  <si>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</si>
  <si>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</si>
  <si>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</si>
  <si>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</si>
  <si>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</si>
  <si>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</si>
  <si>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</si>
  <si>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</si>
  <si>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</si>
  <si>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</si>
  <si>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</si>
  <si>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</si>
  <si>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</si>
  <si>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</si>
  <si>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</si>
  <si>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</si>
  <si>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</si>
  <si>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</si>
  <si>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</si>
  <si>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</si>
  <si>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</si>
  <si>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</si>
  <si>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</si>
  <si>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</si>
  <si>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</si>
  <si>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</si>
  <si>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</si>
  <si>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</si>
  <si>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</si>
  <si>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</si>
  <si>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</si>
  <si>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</si>
  <si>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</si>
  <si>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</si>
  <si>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</si>
  <si>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</si>
  <si>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</si>
  <si>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</si>
  <si>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</si>
  <si>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</si>
  <si>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</si>
  <si>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</si>
  <si>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</si>
  <si>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</si>
  <si>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</si>
  <si>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</si>
  <si>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</si>
  <si>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</si>
  <si>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</si>
  <si>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</si>
  <si>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</si>
  <si>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</si>
  <si>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</si>
  <si>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</si>
  <si>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</si>
  <si>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</si>
  <si>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</si>
  <si>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</si>
  <si>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</si>
  <si>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</si>
  <si>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</si>
  <si>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</si>
  <si>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</si>
  <si>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</si>
  <si>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</si>
  <si>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</si>
  <si>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</si>
  <si>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</si>
  <si>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</si>
  <si>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</si>
  <si>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</si>
  <si>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</si>
  <si>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</si>
  <si>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</si>
  <si>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</si>
  <si>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</si>
  <si>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</si>
  <si>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</si>
  <si>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</si>
  <si>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</si>
  <si>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</si>
  <si>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</si>
  <si>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</si>
  <si>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</si>
  <si>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</si>
  <si>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</si>
  <si>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</si>
  <si>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</si>
  <si>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</si>
  <si>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</si>
  <si>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</si>
  <si>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</si>
  <si>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</si>
  <si>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</si>
  <si>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</si>
  <si>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</si>
  <si>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</si>
  <si>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</si>
  <si>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</si>
  <si>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</si>
  <si>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</si>
  <si>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</si>
  <si>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</si>
  <si>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</si>
  <si>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</si>
  <si>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</si>
  <si>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</si>
  <si>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</si>
  <si>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</si>
  <si>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</si>
  <si>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</si>
  <si>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</si>
  <si>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</si>
  <si>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</si>
  <si>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</si>
  <si>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</si>
  <si>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</si>
  <si>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</si>
  <si>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</si>
  <si>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</si>
  <si>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</si>
  <si>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</si>
  <si>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</si>
  <si>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</si>
  <si>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</si>
  <si>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</si>
  <si>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</si>
  <si>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</si>
  <si>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</si>
  <si>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</si>
  <si>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</si>
  <si>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</si>
  <si>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</si>
  <si>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</si>
  <si>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</si>
  <si>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</si>
  <si>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</si>
  <si>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</si>
  <si>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</si>
  <si>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</si>
  <si>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</si>
  <si>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</si>
  <si>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</si>
  <si>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</si>
  <si>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</si>
  <si>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</si>
  <si>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</si>
  <si>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</si>
  <si>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</si>
  <si>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</si>
  <si>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</si>
  <si>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</si>
  <si>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</si>
  <si>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</si>
  <si>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</si>
  <si>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</si>
  <si>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</si>
  <si>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</si>
  <si>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</si>
  <si>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</si>
  <si>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</si>
  <si>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</si>
  <si>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</si>
  <si>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</si>
  <si>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</si>
  <si>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</si>
  <si>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</si>
  <si>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</si>
  <si>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</si>
  <si>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</si>
  <si>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</si>
  <si>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</si>
  <si>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</si>
  <si>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</si>
  <si>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</si>
  <si>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</si>
  <si>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</si>
  <si>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</si>
  <si>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</si>
  <si>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</si>
  <si>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</si>
  <si>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</si>
  <si>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</si>
  <si>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</si>
  <si>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</si>
  <si>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</si>
  <si>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</si>
  <si>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</si>
  <si>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</si>
  <si>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</si>
  <si>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</si>
  <si>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</si>
  <si>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</si>
  <si>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</si>
  <si>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</si>
  <si>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</si>
  <si>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</si>
  <si>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</si>
  <si>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</si>
  <si>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</si>
  <si>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</si>
  <si>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</si>
  <si>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</si>
  <si>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</si>
  <si>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</si>
  <si>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</si>
  <si>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</si>
  <si>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</si>
  <si>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</si>
  <si>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</si>
  <si>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</si>
  <si>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</si>
  <si>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</si>
  <si>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</si>
  <si>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</si>
  <si>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</si>
  <si>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</si>
  <si>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</si>
  <si>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</si>
  <si>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</si>
  <si>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</si>
  <si>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</si>
  <si>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</si>
  <si>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</si>
  <si>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</si>
  <si>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</si>
  <si>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</si>
  <si>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</si>
  <si>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</si>
  <si>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</si>
  <si>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</si>
  <si>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</si>
  <si>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</si>
  <si>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</si>
  <si>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</si>
  <si>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</si>
  <si>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</si>
  <si>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</si>
  <si>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</si>
  <si>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</si>
  <si>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</si>
  <si>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</si>
  <si>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</si>
  <si>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</si>
  <si>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</si>
  <si>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</si>
  <si>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</si>
  <si>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</si>
  <si>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</si>
  <si>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</si>
  <si>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</si>
  <si>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</si>
  <si>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</si>
  <si>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</si>
  <si>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</si>
  <si>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</si>
  <si>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</si>
  <si>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</si>
  <si>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</si>
  <si>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</si>
  <si>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</si>
  <si>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</si>
  <si>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</si>
  <si>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</si>
  <si>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</si>
  <si>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</si>
  <si>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</si>
  <si>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</si>
  <si>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</si>
  <si>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</si>
  <si>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</si>
  <si>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</si>
  <si>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</si>
  <si>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</si>
  <si>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</si>
  <si>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</si>
  <si>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</si>
  <si>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</si>
  <si>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</si>
  <si>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</si>
  <si>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</si>
  <si>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</si>
  <si>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</si>
  <si>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</si>
  <si>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</si>
  <si>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</si>
  <si>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</si>
  <si>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</si>
  <si>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</si>
  <si>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</si>
  <si>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</si>
  <si>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</si>
  <si>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</si>
  <si>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</si>
  <si>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</si>
  <si>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</si>
  <si>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</si>
  <si>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</si>
  <si>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</si>
  <si>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</si>
  <si>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</si>
  <si>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</si>
  <si>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</si>
  <si>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</si>
  <si>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</si>
  <si>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</si>
  <si>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</si>
  <si>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</si>
  <si>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</si>
  <si>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</si>
  <si>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</si>
  <si>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</si>
  <si>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</si>
  <si>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</si>
  <si>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</si>
  <si>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</si>
  <si>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</si>
  <si>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</si>
  <si>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</si>
  <si>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</si>
  <si>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</si>
  <si>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</si>
  <si>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</si>
  <si>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</si>
  <si>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</si>
  <si>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</si>
  <si>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</si>
  <si>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</si>
  <si>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</si>
  <si>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</si>
  <si>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</si>
  <si>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</si>
  <si>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</si>
  <si>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</si>
  <si>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</si>
  <si>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</si>
  <si>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</si>
  <si>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</si>
  <si>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</si>
  <si>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</si>
  <si>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</si>
  <si>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</si>
  <si>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</si>
  <si>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</si>
  <si>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</si>
  <si>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</si>
  <si>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</si>
  <si>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</si>
  <si>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</si>
  <si>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</si>
  <si>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</si>
  <si>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</si>
  <si>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</si>
  <si>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</si>
  <si>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</si>
  <si>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</si>
  <si>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</si>
  <si>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</si>
  <si>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</si>
  <si>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</si>
  <si>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</si>
  <si>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</si>
  <si>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</si>
  <si>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</si>
  <si>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</si>
  <si>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</si>
  <si>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</si>
  <si>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</si>
  <si>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</si>
  <si>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</si>
  <si>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</si>
  <si>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</si>
  <si>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</si>
  <si>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</si>
  <si>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</si>
  <si>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</si>
  <si>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</si>
  <si>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</si>
  <si>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</si>
  <si>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</si>
  <si>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</si>
  <si>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</si>
  <si>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</si>
  <si>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</si>
  <si>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</si>
  <si>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</si>
  <si>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</si>
  <si>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</si>
  <si>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</si>
  <si>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</si>
  <si>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</si>
  <si>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</si>
  <si>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</si>
  <si>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</si>
  <si>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</si>
  <si>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</si>
  <si>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</si>
  <si>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</si>
  <si>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</si>
  <si>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</si>
  <si>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</si>
  <si>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</si>
  <si>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</si>
  <si>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</si>
  <si>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</si>
  <si>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</si>
  <si>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</si>
  <si>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</si>
  <si>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</si>
  <si>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</si>
  <si>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</si>
  <si>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</si>
  <si>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</si>
  <si>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</si>
  <si>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</si>
  <si>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</si>
  <si>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</si>
  <si>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</si>
  <si>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</si>
  <si>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</si>
  <si>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</si>
  <si>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</si>
  <si>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</si>
  <si>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</si>
  <si>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</si>
  <si>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</si>
  <si>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</si>
  <si>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</si>
  <si>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</si>
  <si>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</si>
  <si>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</si>
  <si>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</si>
  <si>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</si>
  <si>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</si>
  <si>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</si>
  <si>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</si>
  <si>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</si>
  <si>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</si>
  <si>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</si>
  <si>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</si>
  <si>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</si>
  <si>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</si>
  <si>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</si>
  <si>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</si>
  <si>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</si>
  <si>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</si>
  <si>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</si>
  <si>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</si>
  <si>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</si>
  <si>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</si>
  <si>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</si>
  <si>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</si>
  <si>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</si>
  <si>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</si>
  <si>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</si>
  <si>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</si>
  <si>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</si>
  <si>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</si>
  <si>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</si>
  <si>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</si>
  <si>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</si>
  <si>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</si>
  <si>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</si>
  <si>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</si>
  <si>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</si>
  <si>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</si>
  <si>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</si>
  <si>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</si>
  <si>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</si>
  <si>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</si>
  <si>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</si>
  <si>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</si>
  <si>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</si>
  <si>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</si>
  <si>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</si>
  <si>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</si>
  <si>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</si>
  <si>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</si>
  <si>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</si>
  <si>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</si>
  <si>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</si>
  <si>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</si>
  <si>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</si>
  <si>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</si>
  <si>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</si>
  <si>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</si>
  <si>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</si>
  <si>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</si>
  <si>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</si>
  <si>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</si>
  <si>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</si>
  <si>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</si>
  <si>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</si>
  <si>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</si>
  <si>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</si>
  <si>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</si>
  <si>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</si>
  <si>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</si>
  <si>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</si>
  <si>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</si>
  <si>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</si>
  <si>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</si>
  <si>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</si>
  <si>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</si>
  <si>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</si>
  <si>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</si>
  <si>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</si>
  <si>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</si>
  <si>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</si>
  <si>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</si>
  <si>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</si>
  <si>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</si>
  <si>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</si>
  <si>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</si>
  <si>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</si>
  <si>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</si>
  <si>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</si>
  <si>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</si>
  <si>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</si>
  <si>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</si>
  <si>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</si>
  <si>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</si>
  <si>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</si>
  <si>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</si>
  <si>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</si>
  <si>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</si>
  <si>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</si>
  <si>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</si>
  <si>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</si>
  <si>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</si>
  <si>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</si>
  <si>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</si>
  <si>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</si>
  <si>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</si>
  <si>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</si>
  <si>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</si>
  <si>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</si>
  <si>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</si>
  <si>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</si>
  <si>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</si>
  <si>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</si>
  <si>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</si>
  <si>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</si>
  <si>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</si>
  <si>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</si>
  <si>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</si>
  <si>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</si>
  <si>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</si>
  <si>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</si>
  <si>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</si>
  <si>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</si>
  <si>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</si>
  <si>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</si>
  <si>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</si>
  <si>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</si>
  <si>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</si>
  <si>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</si>
  <si>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</si>
  <si>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</si>
  <si>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</si>
  <si>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</si>
  <si>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</si>
  <si>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</si>
  <si>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</si>
  <si>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</si>
  <si>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</si>
  <si>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</si>
  <si>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</si>
  <si>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</si>
  <si>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</si>
  <si>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</si>
  <si>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</si>
  <si>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</si>
  <si>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</si>
  <si>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</si>
  <si>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</si>
  <si>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</si>
  <si>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</si>
  <si>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</si>
  <si>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</si>
  <si>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</si>
  <si>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</si>
  <si>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</si>
  <si>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</si>
  <si>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</si>
  <si>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</si>
  <si>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</si>
  <si>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</si>
  <si>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</si>
  <si>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</si>
  <si>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</si>
  <si>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</si>
  <si>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</si>
  <si>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</si>
  <si>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</si>
  <si>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</si>
  <si>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</si>
  <si>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</si>
  <si>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</si>
  <si>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</si>
  <si>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</si>
  <si>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</si>
  <si>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</si>
  <si>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</si>
  <si>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</si>
  <si>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</si>
  <si>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</si>
  <si>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</si>
  <si>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</si>
  <si>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</si>
  <si>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</si>
  <si>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</si>
  <si>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</si>
  <si>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</si>
  <si>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</si>
  <si>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</si>
  <si>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</si>
  <si>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</si>
  <si>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</si>
  <si>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</si>
  <si>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</si>
  <si>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</si>
  <si>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</si>
  <si>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</si>
  <si>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</si>
  <si>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</si>
  <si>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</si>
  <si>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</si>
  <si>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</si>
  <si>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</si>
  <si>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</si>
  <si>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</si>
  <si>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</si>
  <si>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</si>
  <si>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</si>
  <si>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</si>
  <si>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</si>
  <si>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</si>
  <si>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</si>
  <si>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</si>
  <si>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</si>
  <si>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</si>
  <si>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</si>
  <si>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</si>
  <si>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</si>
  <si>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</si>
  <si>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</si>
  <si>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</si>
  <si>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</si>
  <si>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</si>
  <si>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</si>
  <si>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</si>
  <si>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</si>
  <si>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</si>
  <si>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</si>
  <si>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</si>
  <si>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</si>
  <si>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</si>
  <si>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</si>
  <si>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</si>
  <si>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</si>
  <si>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</si>
  <si>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</si>
  <si>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</si>
  <si>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</si>
  <si>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</si>
  <si>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</si>
  <si>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</si>
  <si>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</si>
  <si>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</si>
  <si>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</si>
  <si>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</si>
  <si>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</si>
  <si>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</si>
  <si>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</si>
  <si>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</si>
  <si>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</si>
  <si>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</si>
  <si>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</si>
  <si>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</si>
  <si>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</si>
  <si>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</si>
  <si>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</si>
  <si>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</si>
  <si>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</si>
  <si>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</si>
  <si>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</si>
  <si>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</si>
  <si>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</si>
  <si>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</si>
  <si>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</si>
  <si>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</si>
  <si>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</si>
  <si>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</si>
  <si>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</si>
  <si>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</si>
  <si>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</si>
  <si>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</si>
  <si>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</si>
  <si>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</si>
  <si>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</si>
  <si>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</si>
  <si>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</si>
  <si>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</si>
  <si>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</si>
  <si>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</si>
  <si>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</si>
  <si>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</si>
  <si>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</si>
  <si>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</si>
  <si>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</si>
  <si>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</si>
  <si>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</si>
  <si>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</si>
  <si>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</si>
  <si>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</si>
  <si>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</si>
  <si>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</si>
  <si>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</si>
  <si>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</si>
  <si>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</si>
  <si>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</si>
  <si>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</si>
  <si>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</si>
  <si>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</si>
  <si>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</si>
  <si>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</si>
  <si>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</si>
  <si>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</si>
  <si>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</si>
  <si>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</si>
  <si>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</si>
  <si>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</si>
  <si>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</si>
  <si>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</si>
  <si>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</si>
  <si>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</si>
  <si>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</si>
  <si>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</si>
  <si>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</si>
  <si>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</si>
  <si>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</si>
  <si>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</si>
  <si>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</si>
  <si>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</si>
  <si>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</si>
  <si>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</si>
  <si>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</si>
  <si>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</si>
  <si>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</si>
  <si>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</si>
  <si>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</si>
  <si>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</si>
  <si>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</si>
  <si>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</si>
  <si>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</si>
  <si>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</si>
  <si>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</si>
  <si>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</si>
  <si>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</si>
  <si>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</si>
  <si>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</si>
  <si>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</si>
  <si>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</si>
  <si>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</si>
  <si>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</si>
  <si>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</si>
  <si>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</si>
  <si>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</si>
  <si>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</si>
  <si>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</si>
  <si>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</si>
  <si>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</si>
  <si>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</si>
  <si>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</si>
  <si>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</si>
  <si>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</si>
  <si>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</si>
  <si>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</si>
  <si>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</si>
  <si>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</si>
  <si>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</si>
  <si>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</si>
  <si>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</si>
  <si>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</si>
  <si>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</si>
  <si>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</si>
  <si>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</si>
  <si>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</si>
  <si>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</si>
  <si>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</si>
  <si>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</si>
  <si>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</si>
  <si>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</si>
  <si>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</si>
  <si>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</si>
  <si>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</si>
  <si>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</si>
  <si>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</si>
  <si>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</si>
  <si>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</si>
  <si>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</si>
  <si>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</si>
  <si>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</si>
  <si>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</si>
  <si>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</si>
  <si>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</si>
  <si>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</si>
  <si>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</si>
  <si>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</si>
  <si>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</si>
  <si>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</si>
  <si>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</si>
  <si>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</si>
  <si>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</si>
  <si>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</si>
  <si>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</si>
  <si>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</si>
  <si>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</si>
  <si>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</si>
  <si>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</si>
  <si>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</si>
  <si>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</si>
  <si>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</si>
  <si>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</si>
  <si>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</si>
  <si>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</si>
  <si>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</si>
  <si>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</si>
  <si>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</si>
  <si>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</si>
  <si>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</si>
  <si>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</si>
  <si>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</si>
  <si>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</si>
  <si>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</si>
  <si>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</si>
  <si>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</si>
  <si>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</si>
  <si>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</si>
  <si>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</si>
  <si>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</si>
  <si>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</si>
  <si>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</si>
  <si>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</si>
  <si>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</si>
  <si>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</si>
  <si>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</si>
  <si>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</si>
  <si>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</si>
  <si>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</si>
  <si>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</si>
  <si>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</si>
  <si>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</si>
  <si>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</si>
  <si>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</si>
  <si>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</si>
  <si>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</si>
  <si>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</si>
  <si>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</si>
  <si>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</si>
  <si>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</si>
  <si>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</si>
  <si>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</si>
  <si>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</si>
  <si>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</si>
  <si>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</si>
  <si>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</si>
  <si>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</si>
  <si>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</si>
  <si>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</si>
  <si>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</si>
  <si>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</si>
  <si>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</si>
  <si>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</si>
  <si>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</si>
  <si>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</si>
  <si>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</si>
  <si>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</si>
  <si>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</si>
  <si>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</si>
  <si>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</si>
  <si>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</si>
  <si>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</si>
  <si>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</si>
  <si>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</si>
  <si>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</si>
  <si>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</si>
  <si>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</si>
  <si>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</si>
  <si>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</si>
  <si>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</si>
  <si>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</si>
  <si>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</si>
  <si>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</si>
  <si>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</si>
  <si>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</si>
  <si>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</si>
  <si>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</si>
  <si>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</si>
  <si>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</si>
  <si>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</si>
  <si>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</si>
  <si>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</si>
  <si>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</si>
  <si>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</si>
  <si>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</si>
  <si>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</si>
  <si>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</si>
  <si>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</si>
  <si>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</si>
  <si>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</si>
  <si>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</si>
  <si>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</si>
  <si>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</si>
  <si>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</si>
  <si>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</si>
  <si>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</si>
  <si>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</si>
  <si>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</si>
  <si>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</si>
  <si>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</si>
  <si>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</si>
  <si>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</si>
  <si>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</si>
  <si>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</si>
  <si>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</si>
  <si>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</si>
  <si>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</si>
  <si>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</si>
  <si>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</si>
  <si>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</si>
  <si>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</si>
  <si>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</si>
  <si>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</si>
  <si>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</si>
  <si>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</si>
  <si>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</si>
  <si>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</si>
  <si>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</si>
  <si>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</si>
  <si>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</si>
  <si>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</si>
  <si>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</si>
  <si>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</si>
  <si>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</si>
  <si>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</si>
  <si>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</si>
  <si>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</si>
  <si>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</si>
  <si>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</si>
  <si>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</si>
  <si>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</si>
  <si>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</si>
  <si>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</si>
  <si>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</si>
  <si>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</si>
  <si>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</si>
  <si>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</si>
  <si>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</si>
  <si>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</si>
  <si>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</si>
  <si>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</si>
  <si>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</si>
  <si>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</si>
  <si>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</si>
  <si>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</si>
  <si>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</si>
  <si>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</si>
  <si>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</si>
  <si>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</si>
  <si>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</si>
  <si>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</si>
  <si>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</si>
  <si>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</si>
  <si>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Surge Components, Inc.</t>
  </si>
  <si>
    <t>95 E Jefryn Blvd</t>
  </si>
  <si>
    <t>Eric Achille</t>
  </si>
  <si>
    <t>Engineering Manager</t>
  </si>
  <si>
    <t>eric.achille@surgecomponents.com</t>
  </si>
  <si>
    <t>631-595-1818</t>
  </si>
  <si>
    <t>100%</t>
  </si>
  <si>
    <t>available upon request</t>
  </si>
  <si>
    <t>Component, including diodes, rectifier, Mosfet etc</t>
    <phoneticPr fontId="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</si>
</sst>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eric.achille@surgecomponent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eric.achille@surgecomponents.com" TargetMode="External"/><Relationship Id="rId4" Type="http://schemas.openxmlformats.org/officeDocument/2006/relationships/hyperlink" Target="mailto:eric.achille@surgecomponent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B06EF6B-DAE7-4DAA-9AE9-703A5B4284C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FD3C460-48B8-4DEF-9891-5570A92BFBD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PageLayoutView="70" workbookViewId="0">
      <selection activeCell="D17" sqref="D17:J1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491</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15858</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45435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15861</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t="s">
        <v>15862</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1C34B76D-3A8B-4958-8511-C0A4531E8026}"/>
    <hyperlink ref="D17" r:id="rId4" display="eric.achille@surgecomponents.com" xr:uid="{93A76236-3C7E-45E7-857A-51312C118459}"/>
    <hyperlink ref="D16" r:id="rId5" xr:uid="{FF1C6C7C-1BBF-4D3A-BF17-1DCABF5F02D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28" sqref="C2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1119</v>
      </c>
      <c r="C5" s="186" t="s">
        <v>2124</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ca="1">IF(B5="","",IF(ISERROR(MATCH($E5,CL,0)),"Unknown",INDIRECT("'C'!$A$"&amp;MATCH($E5,CL,0)+1)))</f>
        <v>JP</v>
      </c>
      <c r="T5" s="181" t="str">
        <f ca="1">IF(B5="","",IF(ISERROR(MATCH($J5,SorP!$B$1:$B$6226,0)),"",INDIRECT("'SorP'!$A$"&amp;MATCH($S5&amp;$J5,SorP!C:C,0))))</f>
        <v>JP-13</v>
      </c>
      <c r="U5" s="201"/>
      <c r="V5" s="226">
        <f>IF(C5="",NA(),IF(OR(C5="Smelter not listed",C5="Smelter not yet identified"),MATCH($B5&amp;$D5,'Smelter Look-up'!$J:$J,0),MATCH($B5&amp;$C5,'Smelter Look-up'!$J:$J,0)))</f>
        <v>13</v>
      </c>
      <c r="X5" s="227">
        <f t="shared" ref="X5" ca="1" si="0">IF(AND(C5="Smelter not listed",OR(LEN(D5)=0,LEN(E5)=0)),1,0)</f>
        <v>0</v>
      </c>
      <c r="AB5" s="228" t="str">
        <f t="shared" ref="AB5" si="1">B5&amp;C5</f>
        <v>GoldAida Chemical Industries Co., Ltd.</v>
      </c>
    </row>
    <row r="6" spans="1:34" s="227" customFormat="1" ht="20.100000000000001" customHeight="1">
      <c r="A6" s="262"/>
      <c r="B6" s="182" t="s">
        <v>1119</v>
      </c>
      <c r="C6" s="186" t="s">
        <v>54</v>
      </c>
      <c r="D6" s="230"/>
      <c r="E6" s="182" t="str">
        <f ca="1">IF(ISERROR($V6),"",OFFSET('Smelter Look-up'!$D$4,$V6-4,0)&amp;"")</f>
        <v>JAPAN</v>
      </c>
      <c r="F6" s="182" t="str">
        <f ca="1">IF(ISERROR($V6),"",OFFSET('Smelter Look-up'!$E$4,$V6-4,0))</f>
        <v>CID001119</v>
      </c>
      <c r="G6" s="182" t="str">
        <f ca="1">IF(C6=$X$4,IF(ISERROR($V6),"Enter smelter details","RMI"),IF(ISERROR($V6),"",OFFSET('Smelter Look-up'!$F$4,$V6-4,0)))</f>
        <v>RMI</v>
      </c>
      <c r="H6" s="183">
        <f ca="1">IF(ISERROR($V6),"",OFFSET('Smelter Look-up'!$G$4,$V6-4,0))</f>
        <v>0</v>
      </c>
      <c r="I6" s="184" t="str">
        <f ca="1">IF(ISERROR($V6),"",OFFSET('Smelter Look-up'!$H$4,$V6-4,0))</f>
        <v>Iruma</v>
      </c>
      <c r="J6" s="184" t="str">
        <f ca="1">IF(ISERROR($V6),"",OFFSET('Smelter Look-up'!$I$4,$V6-4,0))</f>
        <v>Saitama</v>
      </c>
      <c r="K6" s="224"/>
      <c r="L6" s="224"/>
      <c r="M6" s="224"/>
      <c r="N6" s="224"/>
      <c r="O6" s="224"/>
      <c r="P6" s="185"/>
      <c r="Q6" s="225"/>
      <c r="R6" s="182" t="str">
        <f ca="1">IF(ISERROR($V6),"",OFFSET('Smelter Look-up'!$C$4,$V6-4,0)&amp;"")</f>
        <v>Matsuda Sangyo Co., Ltd.</v>
      </c>
      <c r="S6" s="181" t="str">
        <f t="shared" ref="S6:S37" ca="1" si="2">IF(B6="","",IF(ISERROR(MATCH($E6,CL,0)),"Unknown",INDIRECT("'C'!$A$"&amp;MATCH($E6,CL,0)+1)))</f>
        <v>JP</v>
      </c>
      <c r="T6" s="181" t="str">
        <f ca="1">IF(B6="","",IF(ISERROR(MATCH($J6,SorP!$B$1:$B$6226,0)),"",INDIRECT("'SorP'!$A$"&amp;MATCH($S6&amp;$J6,SorP!C:C,0))))</f>
        <v>JP-11</v>
      </c>
      <c r="U6" s="201"/>
      <c r="V6" s="226">
        <f>IF(C6="",NA(),IF(OR(C6="Smelter not listed",C6="Smelter not yet identified"),MATCH($B6&amp;$D6,'Smelter Look-up'!$J:$J,0),MATCH($B6&amp;$C6,'Smelter Look-up'!$J:$J,0)))</f>
        <v>175</v>
      </c>
      <c r="X6" s="227">
        <f t="shared" ref="X6:X37" ca="1" si="3">IF(AND(C6="Smelter not listed",OR(LEN(D6)=0,LEN(E6)=0)),1,0)</f>
        <v>0</v>
      </c>
      <c r="AB6" s="228" t="str">
        <f t="shared" ref="AB6:AB37" si="4">B6&amp;C6</f>
        <v>GoldMatsuda Sangyo Co., Ltd.</v>
      </c>
    </row>
    <row r="7" spans="1:34" s="227" customFormat="1" ht="20.100000000000001" customHeight="1">
      <c r="A7" s="262"/>
      <c r="B7" s="182" t="s">
        <v>1119</v>
      </c>
      <c r="C7" s="186" t="s">
        <v>2483</v>
      </c>
      <c r="D7" s="230"/>
      <c r="E7" s="182" t="str">
        <f ca="1">IF(ISERROR($V7),"",OFFSET('Smelter Look-up'!$D$4,$V7-4,0)&amp;"")</f>
        <v>CHINA</v>
      </c>
      <c r="F7" s="182" t="str">
        <f ca="1">IF(ISERROR($V7),"",OFFSET('Smelter Look-up'!$E$4,$V7-4,0))</f>
        <v>CID000707</v>
      </c>
      <c r="G7" s="182" t="str">
        <f ca="1">IF(C7=$X$4,IF(ISERROR($V7),"Enter smelter details","RMI"),IF(ISERROR($V7),"",OFFSET('Smelter Look-up'!$F$4,$V7-4,0)))</f>
        <v>RMI</v>
      </c>
      <c r="H7" s="183">
        <f ca="1">IF(ISERROR($V7),"",OFFSET('Smelter Look-up'!$G$4,$V7-4,0))</f>
        <v>0</v>
      </c>
      <c r="I7" s="184" t="str">
        <f ca="1">IF(ISERROR($V7),"",OFFSET('Smelter Look-up'!$H$4,$V7-4,0))</f>
        <v>Fanling</v>
      </c>
      <c r="J7" s="184" t="str">
        <f ca="1">IF(ISERROR($V7),"",OFFSET('Smelter Look-up'!$I$4,$V7-4,0))</f>
        <v>Hong Kong SAR</v>
      </c>
      <c r="K7" s="224"/>
      <c r="L7" s="224"/>
      <c r="M7" s="224"/>
      <c r="N7" s="224"/>
      <c r="O7" s="224"/>
      <c r="P7" s="185"/>
      <c r="Q7" s="225"/>
      <c r="R7" s="182" t="str">
        <f ca="1">IF(ISERROR($V7),"",OFFSET('Smelter Look-up'!$C$4,$V7-4,0)&amp;"")</f>
        <v>Heraeus Metals Hong Kong Ltd.</v>
      </c>
      <c r="S7" s="181" t="str">
        <f t="shared" ca="1" si="2"/>
        <v>CN</v>
      </c>
      <c r="T7" s="181" t="str">
        <f ca="1">IF(B7="","",IF(ISERROR(MATCH($J7,SorP!$B$1:$B$6226,0)),"",INDIRECT("'SorP'!$A$"&amp;MATCH($S7&amp;$J7,SorP!C:C,0))))</f>
        <v>CN-HK</v>
      </c>
      <c r="U7" s="201"/>
      <c r="V7" s="226">
        <f>IF(C7="",NA(),IF(OR(C7="Smelter not listed",C7="Smelter not yet identified"),MATCH($B7&amp;$D7,'Smelter Look-up'!$J:$J,0),MATCH($B7&amp;$C7,'Smelter Look-up'!$J:$J,0)))</f>
        <v>111</v>
      </c>
      <c r="X7" s="227">
        <f t="shared" ca="1" si="3"/>
        <v>0</v>
      </c>
      <c r="AB7" s="228" t="str">
        <f t="shared" si="4"/>
        <v>GoldHeraeus Metals Hong Kong Ltd.</v>
      </c>
    </row>
    <row r="8" spans="1:34" s="227" customFormat="1" ht="20.100000000000001" customHeight="1">
      <c r="A8" s="262"/>
      <c r="B8" s="182" t="s">
        <v>1120</v>
      </c>
      <c r="C8" s="186" t="s">
        <v>37</v>
      </c>
      <c r="D8" s="230"/>
      <c r="E8" s="182" t="str">
        <f ca="1">IF(ISERROR($V8),"",OFFSET('Smelter Look-up'!$D$4,$V8-4,0)&amp;"")</f>
        <v>CHINA</v>
      </c>
      <c r="F8" s="182" t="str">
        <f ca="1">IF(ISERROR($V8),"",OFFSET('Smelter Look-up'!$E$4,$V8-4,0))</f>
        <v>CID002180</v>
      </c>
      <c r="G8" s="182" t="str">
        <f ca="1">IF(C8=$X$4,IF(ISERROR($V8),"Enter smelter details","RMI"),IF(ISERROR($V8),"",OFFSET('Smelter Look-up'!$F$4,$V8-4,0)))</f>
        <v>RMI</v>
      </c>
      <c r="H8" s="183">
        <f ca="1">IF(ISERROR($V8),"",OFFSET('Smelter Look-up'!$G$4,$V8-4,0))</f>
        <v>0</v>
      </c>
      <c r="I8" s="184" t="str">
        <f ca="1">IF(ISERROR($V8),"",OFFSET('Smelter Look-up'!$H$4,$V8-4,0))</f>
        <v>Gejiu</v>
      </c>
      <c r="J8" s="184" t="str">
        <f ca="1">IF(ISERROR($V8),"",OFFSET('Smelter Look-up'!$I$4,$V8-4,0))</f>
        <v>Yunnan Sheng</v>
      </c>
      <c r="K8" s="224"/>
      <c r="L8" s="224"/>
      <c r="M8" s="224"/>
      <c r="N8" s="224"/>
      <c r="O8" s="224"/>
      <c r="P8" s="185"/>
      <c r="Q8" s="225"/>
      <c r="R8" s="182" t="str">
        <f ca="1">IF(ISERROR($V8),"",OFFSET('Smelter Look-up'!$C$4,$V8-4,0)&amp;"")</f>
        <v>Tin Smelting Branch of Yunnan Tin Co., Ltd.</v>
      </c>
      <c r="S8" s="181" t="str">
        <f t="shared" ca="1" si="2"/>
        <v>CN</v>
      </c>
      <c r="T8" s="181" t="str">
        <f ca="1">IF(B8="","",IF(ISERROR(MATCH($J8,SorP!$B$1:$B$6226,0)),"",INDIRECT("'SorP'!$A$"&amp;MATCH($S8&amp;$J8,SorP!C:C,0))))</f>
        <v>CN-YN</v>
      </c>
      <c r="U8" s="201"/>
      <c r="V8" s="226">
        <f>IF(C8="",NA(),IF(OR(C8="Smelter not listed",C8="Smelter not yet identified"),MATCH($B8&amp;$D8,'Smelter Look-up'!$J:$J,0),MATCH($B8&amp;$C8,'Smelter Look-up'!$J:$J,0)))</f>
        <v>416</v>
      </c>
      <c r="X8" s="227">
        <f t="shared" ca="1" si="3"/>
        <v>0</v>
      </c>
      <c r="AB8" s="228" t="str">
        <f t="shared" si="4"/>
        <v>TinChina Yunnan Tin Co Ltd.</v>
      </c>
    </row>
    <row r="9" spans="1:34" s="227" customFormat="1" ht="20.100000000000001" customHeight="1">
      <c r="A9" s="262"/>
      <c r="B9" s="182" t="s">
        <v>1120</v>
      </c>
      <c r="C9" s="186" t="s">
        <v>2150</v>
      </c>
      <c r="D9" s="230"/>
      <c r="E9" s="182" t="str">
        <f ca="1">IF(ISERROR($V9),"",OFFSET('Smelter Look-up'!$D$4,$V9-4,0)&amp;"")</f>
        <v>CHINA</v>
      </c>
      <c r="F9" s="182" t="str">
        <f ca="1">IF(ISERROR($V9),"",OFFSET('Smelter Look-up'!$E$4,$V9-4,0))</f>
        <v>CID002158</v>
      </c>
      <c r="G9" s="182" t="str">
        <f ca="1">IF(C9=$X$4,IF(ISERROR($V9),"Enter smelter details","RMI"),IF(ISERROR($V9),"",OFFSET('Smelter Look-up'!$F$4,$V9-4,0)))</f>
        <v>RMI</v>
      </c>
      <c r="H9" s="183">
        <f ca="1">IF(ISERROR($V9),"",OFFSET('Smelter Look-up'!$G$4,$V9-4,0))</f>
        <v>0</v>
      </c>
      <c r="I9" s="184" t="str">
        <f ca="1">IF(ISERROR($V9),"",OFFSET('Smelter Look-up'!$H$4,$V9-4,0))</f>
        <v>Gejiu</v>
      </c>
      <c r="J9" s="184" t="str">
        <f ca="1">IF(ISERROR($V9),"",OFFSET('Smelter Look-up'!$I$4,$V9-4,0))</f>
        <v>Yunnan Sheng</v>
      </c>
      <c r="K9" s="224"/>
      <c r="L9" s="224"/>
      <c r="M9" s="224"/>
      <c r="N9" s="224"/>
      <c r="O9" s="224"/>
      <c r="P9" s="185"/>
      <c r="Q9" s="225"/>
      <c r="R9" s="182" t="str">
        <f ca="1">IF(ISERROR($V9),"",OFFSET('Smelter Look-up'!$C$4,$V9-4,0)&amp;"")</f>
        <v>Yunnan Chengfeng Non-ferrous Metals Co., Ltd.</v>
      </c>
      <c r="S9" s="181" t="str">
        <f t="shared" ca="1" si="2"/>
        <v>CN</v>
      </c>
      <c r="T9" s="181" t="str">
        <f ca="1">IF(B9="","",IF(ISERROR(MATCH($J9,SorP!$B$1:$B$6226,0)),"",INDIRECT("'SorP'!$A$"&amp;MATCH($S9&amp;$J9,SorP!C:C,0))))</f>
        <v>CN-YN</v>
      </c>
      <c r="U9" s="201"/>
      <c r="V9" s="226">
        <f>IF(C9="",NA(),IF(OR(C9="Smelter not listed",C9="Smelter not yet identified"),MATCH($B9&amp;$D9,'Smelter Look-up'!$J:$J,0),MATCH($B9&amp;$C9,'Smelter Look-up'!$J:$J,0)))</f>
        <v>565</v>
      </c>
      <c r="X9" s="227">
        <f t="shared" ca="1" si="3"/>
        <v>0</v>
      </c>
      <c r="AB9" s="228" t="str">
        <f t="shared" si="4"/>
        <v>TinYunnan Chengfeng Non-ferrous Metals Co., Ltd.</v>
      </c>
    </row>
    <row r="10" spans="1:34" s="227" customFormat="1" ht="20.100000000000001" customHeight="1">
      <c r="A10" s="262"/>
      <c r="B10" s="182" t="s">
        <v>1120</v>
      </c>
      <c r="C10" s="186" t="s">
        <v>2318</v>
      </c>
      <c r="D10" s="230"/>
      <c r="E10" s="182" t="str">
        <f ca="1">IF(ISERROR($V10),"",OFFSET('Smelter Look-up'!$D$4,$V10-4,0)&amp;"")</f>
        <v>CHINA</v>
      </c>
      <c r="F10" s="182" t="str">
        <f ca="1">IF(ISERROR($V10),"",OFFSET('Smelter Look-up'!$E$4,$V10-4,0))</f>
        <v>CID000228</v>
      </c>
      <c r="G10" s="182" t="str">
        <f ca="1">IF(C10=$X$4,IF(ISERROR($V10),"Enter smelter details","RMI"),IF(ISERROR($V10),"",OFFSET('Smelter Look-up'!$F$4,$V10-4,0)))</f>
        <v>RMI</v>
      </c>
      <c r="H10" s="183">
        <f ca="1">IF(ISERROR($V10),"",OFFSET('Smelter Look-up'!$G$4,$V10-4,0))</f>
        <v>0</v>
      </c>
      <c r="I10" s="184" t="str">
        <f ca="1">IF(ISERROR($V10),"",OFFSET('Smelter Look-up'!$H$4,$V10-4,0))</f>
        <v>Chenzhou</v>
      </c>
      <c r="J10" s="184" t="str">
        <f ca="1">IF(ISERROR($V10),"",OFFSET('Smelter Look-up'!$I$4,$V10-4,0))</f>
        <v>Hunan Sheng</v>
      </c>
      <c r="K10" s="224"/>
      <c r="L10" s="224"/>
      <c r="M10" s="224"/>
      <c r="N10" s="224"/>
      <c r="O10" s="224"/>
      <c r="P10" s="185"/>
      <c r="Q10" s="225"/>
      <c r="R10" s="182" t="str">
        <f ca="1">IF(ISERROR($V10),"",OFFSET('Smelter Look-up'!$C$4,$V10-4,0)&amp;"")</f>
        <v>Chenzhou Yunxiang Mining and Metallurgy Co., Ltd.</v>
      </c>
      <c r="S10" s="181" t="str">
        <f t="shared" ca="1" si="2"/>
        <v>CN</v>
      </c>
      <c r="T10" s="181" t="str">
        <f ca="1">IF(B10="","",IF(ISERROR(MATCH($J10,SorP!$B$1:$B$6226,0)),"",INDIRECT("'SorP'!$A$"&amp;MATCH($S10&amp;$J10,SorP!C:C,0))))</f>
        <v>CN-HN</v>
      </c>
      <c r="U10" s="201"/>
      <c r="V10" s="226">
        <f>IF(C10="",NA(),IF(OR(C10="Smelter not listed",C10="Smelter not yet identified"),MATCH($B10&amp;$D10,'Smelter Look-up'!$J:$J,0),MATCH($B10&amp;$C10,'Smelter Look-up'!$J:$J,0)))</f>
        <v>411</v>
      </c>
      <c r="X10" s="227">
        <f t="shared" ca="1" si="3"/>
        <v>0</v>
      </c>
      <c r="AB10" s="228" t="str">
        <f t="shared" si="4"/>
        <v>TinChenzhou Yunxiang Mining and Metallurgy Co., Ltd.</v>
      </c>
    </row>
    <row r="11" spans="1:34" s="227" customFormat="1" ht="20.100000000000001" customHeight="1">
      <c r="A11" s="262"/>
      <c r="B11" s="182" t="s">
        <v>1120</v>
      </c>
      <c r="C11" s="186" t="s">
        <v>1024</v>
      </c>
      <c r="D11" s="230"/>
      <c r="E11" s="182" t="str">
        <f ca="1">IF(ISERROR($V11),"",OFFSET('Smelter Look-up'!$D$4,$V11-4,0)&amp;"")</f>
        <v>PERU</v>
      </c>
      <c r="F11" s="182" t="str">
        <f ca="1">IF(ISERROR($V11),"",OFFSET('Smelter Look-up'!$E$4,$V11-4,0))</f>
        <v>CID001182</v>
      </c>
      <c r="G11" s="182" t="str">
        <f ca="1">IF(C11=$X$4,IF(ISERROR($V11),"Enter smelter details","RMI"),IF(ISERROR($V11),"",OFFSET('Smelter Look-up'!$F$4,$V11-4,0)))</f>
        <v>RMI</v>
      </c>
      <c r="H11" s="183">
        <f ca="1">IF(ISERROR($V11),"",OFFSET('Smelter Look-up'!$G$4,$V11-4,0))</f>
        <v>0</v>
      </c>
      <c r="I11" s="184" t="str">
        <f ca="1">IF(ISERROR($V11),"",OFFSET('Smelter Look-up'!$H$4,$V11-4,0))</f>
        <v>Paracas</v>
      </c>
      <c r="J11" s="184" t="str">
        <f ca="1">IF(ISERROR($V11),"",OFFSET('Smelter Look-up'!$I$4,$V11-4,0))</f>
        <v>Ika</v>
      </c>
      <c r="K11" s="224"/>
      <c r="L11" s="224"/>
      <c r="M11" s="224"/>
      <c r="N11" s="224"/>
      <c r="O11" s="224"/>
      <c r="P11" s="185"/>
      <c r="Q11" s="225"/>
      <c r="R11" s="182" t="str">
        <f ca="1">IF(ISERROR($V11),"",OFFSET('Smelter Look-up'!$C$4,$V11-4,0)&amp;"")</f>
        <v>Minsur</v>
      </c>
      <c r="S11" s="181" t="str">
        <f t="shared" ca="1" si="2"/>
        <v>PE</v>
      </c>
      <c r="T11" s="181" t="str">
        <f ca="1">IF(B11="","",IF(ISERROR(MATCH($J11,SorP!$B$1:$B$6226,0)),"",INDIRECT("'SorP'!$A$"&amp;MATCH($S11&amp;$J11,SorP!C:C,0))))</f>
        <v>PE-ICA</v>
      </c>
      <c r="U11" s="201"/>
      <c r="V11" s="226">
        <f>IF(C11="",NA(),IF(OR(C11="Smelter not listed",C11="Smelter not yet identified"),MATCH($B11&amp;$D11,'Smelter Look-up'!$J:$J,0),MATCH($B11&amp;$C11,'Smelter Look-up'!$J:$J,0)))</f>
        <v>487</v>
      </c>
      <c r="X11" s="227">
        <f t="shared" ca="1" si="3"/>
        <v>0</v>
      </c>
      <c r="AB11" s="228" t="str">
        <f t="shared" si="4"/>
        <v>TinMinsur</v>
      </c>
    </row>
    <row r="12" spans="1:34" s="227" customFormat="1" ht="20.100000000000001" customHeight="1">
      <c r="A12" s="262"/>
      <c r="B12" s="182" t="s">
        <v>1120</v>
      </c>
      <c r="C12" s="186" t="s">
        <v>2133</v>
      </c>
      <c r="D12" s="230"/>
      <c r="E12" s="182" t="str">
        <f ca="1">IF(ISERROR($V12),"",OFFSET('Smelter Look-up'!$D$4,$V12-4,0)&amp;"")</f>
        <v>UNITED STATES OF AMERICA</v>
      </c>
      <c r="F12" s="182" t="str">
        <f ca="1">IF(ISERROR($V12),"",OFFSET('Smelter Look-up'!$E$4,$V12-4,0))</f>
        <v>CID001142</v>
      </c>
      <c r="G12" s="182" t="str">
        <f ca="1">IF(C12=$X$4,IF(ISERROR($V12),"Enter smelter details","RMI"),IF(ISERROR($V12),"",OFFSET('Smelter Look-up'!$F$4,$V12-4,0)))</f>
        <v>RMI</v>
      </c>
      <c r="H12" s="183">
        <f ca="1">IF(ISERROR($V12),"",OFFSET('Smelter Look-up'!$G$4,$V12-4,0))</f>
        <v>0</v>
      </c>
      <c r="I12" s="184" t="str">
        <f ca="1">IF(ISERROR($V12),"",OFFSET('Smelter Look-up'!$H$4,$V12-4,0))</f>
        <v>Twinsburg</v>
      </c>
      <c r="J12" s="184" t="str">
        <f ca="1">IF(ISERROR($V12),"",OFFSET('Smelter Look-up'!$I$4,$V12-4,0))</f>
        <v>Ohio</v>
      </c>
      <c r="K12" s="224"/>
      <c r="L12" s="224"/>
      <c r="M12" s="224"/>
      <c r="N12" s="224"/>
      <c r="O12" s="224"/>
      <c r="P12" s="185"/>
      <c r="Q12" s="225"/>
      <c r="R12" s="182" t="str">
        <f ca="1">IF(ISERROR($V12),"",OFFSET('Smelter Look-up'!$C$4,$V12-4,0)&amp;"")</f>
        <v>Metallic Resources, Inc.</v>
      </c>
      <c r="S12" s="181" t="str">
        <f t="shared" ca="1" si="2"/>
        <v>US</v>
      </c>
      <c r="T12" s="181" t="str">
        <f ca="1">IF(B12="","",IF(ISERROR(MATCH($J12,SorP!$B$1:$B$6226,0)),"",INDIRECT("'SorP'!$A$"&amp;MATCH($S12&amp;$J12,SorP!C:C,0))))</f>
        <v>US-OH</v>
      </c>
      <c r="U12" s="201"/>
      <c r="V12" s="226">
        <f>IF(C12="",NA(),IF(OR(C12="Smelter not listed",C12="Smelter not yet identified"),MATCH($B12&amp;$D12,'Smelter Look-up'!$J:$J,0),MATCH($B12&amp;$C12,'Smelter Look-up'!$J:$J,0)))</f>
        <v>479</v>
      </c>
      <c r="X12" s="227">
        <f t="shared" ca="1" si="3"/>
        <v>0</v>
      </c>
      <c r="AB12" s="228" t="str">
        <f t="shared" si="4"/>
        <v>TinMetallic Resources, Inc.</v>
      </c>
    </row>
    <row r="13" spans="1:34" s="227" customFormat="1" ht="20.100000000000001" customHeight="1">
      <c r="A13" s="262"/>
      <c r="B13" s="182" t="s">
        <v>1120</v>
      </c>
      <c r="C13" s="186" t="s">
        <v>1153</v>
      </c>
      <c r="D13" s="230"/>
      <c r="E13" s="182" t="str">
        <f ca="1">IF(ISERROR($V13),"",OFFSET('Smelter Look-up'!$D$4,$V13-4,0)&amp;"")</f>
        <v>JAPAN</v>
      </c>
      <c r="F13" s="182" t="str">
        <f ca="1">IF(ISERROR($V13),"",OFFSET('Smelter Look-up'!$E$4,$V13-4,0))</f>
        <v>CID001191</v>
      </c>
      <c r="G13" s="182" t="str">
        <f ca="1">IF(C13=$X$4,IF(ISERROR($V13),"Enter smelter details","RMI"),IF(ISERROR($V13),"",OFFSET('Smelter Look-up'!$F$4,$V13-4,0)))</f>
        <v>RMI</v>
      </c>
      <c r="H13" s="183">
        <f ca="1">IF(ISERROR($V13),"",OFFSET('Smelter Look-up'!$G$4,$V13-4,0))</f>
        <v>0</v>
      </c>
      <c r="I13" s="184" t="str">
        <f ca="1">IF(ISERROR($V13),"",OFFSET('Smelter Look-up'!$H$4,$V13-4,0))</f>
        <v>Asago</v>
      </c>
      <c r="J13" s="184" t="str">
        <f ca="1">IF(ISERROR($V13),"",OFFSET('Smelter Look-up'!$I$4,$V13-4,0))</f>
        <v>Hyogo</v>
      </c>
      <c r="K13" s="224"/>
      <c r="L13" s="224"/>
      <c r="M13" s="224"/>
      <c r="N13" s="224"/>
      <c r="O13" s="224"/>
      <c r="P13" s="185"/>
      <c r="Q13" s="225"/>
      <c r="R13" s="182" t="str">
        <f ca="1">IF(ISERROR($V13),"",OFFSET('Smelter Look-up'!$C$4,$V13-4,0)&amp;"")</f>
        <v>Mitsubishi Materials Corporation</v>
      </c>
      <c r="S13" s="181" t="str">
        <f t="shared" ca="1" si="2"/>
        <v>JP</v>
      </c>
      <c r="T13" s="181" t="str">
        <f ca="1">IF(B13="","",IF(ISERROR(MATCH($J13,SorP!$B$1:$B$6226,0)),"",INDIRECT("'SorP'!$A$"&amp;MATCH($S13&amp;$J13,SorP!C:C,0))))</f>
        <v>JP-28</v>
      </c>
      <c r="U13" s="201"/>
      <c r="V13" s="226">
        <f>IF(C13="",NA(),IF(OR(C13="Smelter not listed",C13="Smelter not yet identified"),MATCH($B13&amp;$D13,'Smelter Look-up'!$J:$J,0),MATCH($B13&amp;$C13,'Smelter Look-up'!$J:$J,0)))</f>
        <v>488</v>
      </c>
      <c r="X13" s="227">
        <f t="shared" ca="1" si="3"/>
        <v>0</v>
      </c>
      <c r="AB13" s="228" t="str">
        <f t="shared" si="4"/>
        <v>TinMitsubishi Materials Corporation</v>
      </c>
    </row>
    <row r="14" spans="1:34" s="227" customFormat="1" ht="20.100000000000001" customHeight="1">
      <c r="A14" s="262"/>
      <c r="B14" s="182" t="s">
        <v>1120</v>
      </c>
      <c r="C14" s="186" t="s">
        <v>15496</v>
      </c>
      <c r="D14" s="230"/>
      <c r="E14" s="182" t="str">
        <f ca="1">IF(ISERROR($V14),"",OFFSET('Smelter Look-up'!$D$4,$V14-4,0)&amp;"")</f>
        <v>BELGIUM</v>
      </c>
      <c r="F14" s="182" t="str">
        <f ca="1">IF(ISERROR($V14),"",OFFSET('Smelter Look-up'!$E$4,$V14-4,0))</f>
        <v>CID002773</v>
      </c>
      <c r="G14" s="182" t="str">
        <f ca="1">IF(C14=$X$4,IF(ISERROR($V14),"Enter smelter details","RMI"),IF(ISERROR($V14),"",OFFSET('Smelter Look-up'!$F$4,$V14-4,0)))</f>
        <v>RMI</v>
      </c>
      <c r="H14" s="183">
        <f ca="1">IF(ISERROR($V14),"",OFFSET('Smelter Look-up'!$G$4,$V14-4,0))</f>
        <v>0</v>
      </c>
      <c r="I14" s="184" t="str">
        <f ca="1">IF(ISERROR($V14),"",OFFSET('Smelter Look-up'!$H$4,$V14-4,0))</f>
        <v>Beerse</v>
      </c>
      <c r="J14" s="184" t="str">
        <f ca="1">IF(ISERROR($V14),"",OFFSET('Smelter Look-up'!$I$4,$V14-4,0))</f>
        <v>Antwerpen</v>
      </c>
      <c r="K14" s="224"/>
      <c r="L14" s="224"/>
      <c r="M14" s="224"/>
      <c r="N14" s="224"/>
      <c r="O14" s="224"/>
      <c r="P14" s="185"/>
      <c r="Q14" s="225"/>
      <c r="R14" s="182" t="str">
        <f ca="1">IF(ISERROR($V14),"",OFFSET('Smelter Look-up'!$C$4,$V14-4,0)&amp;"")</f>
        <v>Aurubis Beerse</v>
      </c>
      <c r="S14" s="181" t="str">
        <f t="shared" ca="1" si="2"/>
        <v>BE</v>
      </c>
      <c r="T14" s="181" t="str">
        <f ca="1">IF(B14="","",IF(ISERROR(MATCH($J14,SorP!$B$1:$B$6226,0)),"",INDIRECT("'SorP'!$A$"&amp;MATCH($S14&amp;$J14,SorP!C:C,0))))</f>
        <v>BE-VAN</v>
      </c>
      <c r="U14" s="201"/>
      <c r="V14" s="226">
        <f>IF(C14="",NA(),IF(OR(C14="Smelter not listed",C14="Smelter not yet identified"),MATCH($B14&amp;$D14,'Smelter Look-up'!$J:$J,0),MATCH($B14&amp;$C14,'Smelter Look-up'!$J:$J,0)))</f>
        <v>405</v>
      </c>
      <c r="X14" s="227">
        <f t="shared" ca="1" si="3"/>
        <v>0</v>
      </c>
      <c r="AB14" s="228" t="str">
        <f t="shared" si="4"/>
        <v>TinAurubis Beerse</v>
      </c>
    </row>
    <row r="15" spans="1:34" s="227" customFormat="1" ht="20.100000000000001" customHeight="1">
      <c r="A15" s="262"/>
      <c r="B15" s="182" t="s">
        <v>1120</v>
      </c>
      <c r="C15" s="186" t="s">
        <v>2511</v>
      </c>
      <c r="D15" s="230"/>
      <c r="E15" s="182" t="str">
        <f ca="1">IF(ISERROR($V15),"",OFFSET('Smelter Look-up'!$D$4,$V15-4,0)&amp;"")</f>
        <v>CHINA</v>
      </c>
      <c r="F15" s="182" t="str">
        <f ca="1">IF(ISERROR($V15),"",OFFSET('Smelter Look-up'!$E$4,$V15-4,0))</f>
        <v>CID003116</v>
      </c>
      <c r="G15" s="182" t="str">
        <f ca="1">IF(C15=$X$4,IF(ISERROR($V15),"Enter smelter details","RMI"),IF(ISERROR($V15),"",OFFSET('Smelter Look-up'!$F$4,$V15-4,0)))</f>
        <v>RMI</v>
      </c>
      <c r="H15" s="183">
        <f ca="1">IF(ISERROR($V15),"",OFFSET('Smelter Look-up'!$G$4,$V15-4,0))</f>
        <v>0</v>
      </c>
      <c r="I15" s="184" t="str">
        <f ca="1">IF(ISERROR($V15),"",OFFSET('Smelter Look-up'!$H$4,$V15-4,0))</f>
        <v>Chaozhou</v>
      </c>
      <c r="J15" s="184" t="str">
        <f ca="1">IF(ISERROR($V15),"",OFFSET('Smelter Look-up'!$I$4,$V15-4,0))</f>
        <v>Guangdong Sheng</v>
      </c>
      <c r="K15" s="224"/>
      <c r="L15" s="224"/>
      <c r="M15" s="224"/>
      <c r="N15" s="224"/>
      <c r="O15" s="224"/>
      <c r="P15" s="185"/>
      <c r="Q15" s="225"/>
      <c r="R15" s="182" t="str">
        <f ca="1">IF(ISERROR($V15),"",OFFSET('Smelter Look-up'!$C$4,$V15-4,0)&amp;"")</f>
        <v>Guangdong Hanhe Non-Ferrous Metal Co., Ltd.</v>
      </c>
      <c r="S15" s="181" t="str">
        <f t="shared" ca="1" si="2"/>
        <v>CN</v>
      </c>
      <c r="T15" s="181" t="str">
        <f ca="1">IF(B15="","",IF(ISERROR(MATCH($J15,SorP!$B$1:$B$6226,0)),"",INDIRECT("'SorP'!$A$"&amp;MATCH($S15&amp;$J15,SorP!C:C,0))))</f>
        <v>CN-GD</v>
      </c>
      <c r="U15" s="201"/>
      <c r="V15" s="226">
        <f>IF(C15="",NA(),IF(OR(C15="Smelter not listed",C15="Smelter not yet identified"),MATCH($B15&amp;$D15,'Smelter Look-up'!$J:$J,0),MATCH($B15&amp;$C15,'Smelter Look-up'!$J:$J,0)))</f>
        <v>455</v>
      </c>
      <c r="X15" s="227">
        <f t="shared" ca="1" si="3"/>
        <v>0</v>
      </c>
      <c r="AB15" s="228" t="str">
        <f t="shared" si="4"/>
        <v>TinGuangdong Hanhe Non-Ferrous Metal Co., Ltd.</v>
      </c>
    </row>
    <row r="16" spans="1:34" s="227" customFormat="1" ht="20.100000000000001" customHeight="1">
      <c r="A16" s="262"/>
      <c r="B16" s="182" t="s">
        <v>1120</v>
      </c>
      <c r="C16" s="186" t="s">
        <v>13778</v>
      </c>
      <c r="D16" s="230"/>
      <c r="E16" s="182" t="str">
        <f ca="1">IF(ISERROR($V16),"",OFFSET('Smelter Look-up'!$D$4,$V16-4,0)&amp;"")</f>
        <v>INDONESIA</v>
      </c>
      <c r="F16" s="182" t="str">
        <f ca="1">IF(ISERROR($V16),"",OFFSET('Smelter Look-up'!$E$4,$V16-4,0))</f>
        <v>CID001482</v>
      </c>
      <c r="G16" s="182" t="str">
        <f ca="1">IF(C16=$X$4,IF(ISERROR($V16),"Enter smelter details","RMI"),IF(ISERROR($V16),"",OFFSET('Smelter Look-up'!$F$4,$V16-4,0)))</f>
        <v>RMI</v>
      </c>
      <c r="H16" s="183">
        <f ca="1">IF(ISERROR($V16),"",OFFSET('Smelter Look-up'!$G$4,$V16-4,0))</f>
        <v>0</v>
      </c>
      <c r="I16" s="184" t="str">
        <f ca="1">IF(ISERROR($V16),"",OFFSET('Smelter Look-up'!$H$4,$V16-4,0))</f>
        <v>Mentok</v>
      </c>
      <c r="J16" s="184" t="str">
        <f ca="1">IF(ISERROR($V16),"",OFFSET('Smelter Look-up'!$I$4,$V16-4,0))</f>
        <v>Kepulauan Bangka Belitung</v>
      </c>
      <c r="K16" s="224"/>
      <c r="L16" s="224"/>
      <c r="M16" s="224"/>
      <c r="N16" s="224"/>
      <c r="O16" s="224"/>
      <c r="P16" s="185"/>
      <c r="Q16" s="225"/>
      <c r="R16" s="182" t="str">
        <f ca="1">IF(ISERROR($V16),"",OFFSET('Smelter Look-up'!$C$4,$V16-4,0)&amp;"")</f>
        <v>PT Timah Tbk Mentok</v>
      </c>
      <c r="S16" s="181" t="str">
        <f t="shared" ca="1" si="2"/>
        <v>ID</v>
      </c>
      <c r="T16" s="181" t="str">
        <f ca="1">IF(B16="","",IF(ISERROR(MATCH($J16,SorP!$B$1:$B$6226,0)),"",INDIRECT("'SorP'!$A$"&amp;MATCH($S16&amp;$J16,SorP!C:C,0))))</f>
        <v>ID-BB</v>
      </c>
      <c r="U16" s="201"/>
      <c r="V16" s="226">
        <f>IF(C16="",NA(),IF(OR(C16="Smelter not listed",C16="Smelter not yet identified"),MATCH($B16&amp;$D16,'Smelter Look-up'!$J:$J,0),MATCH($B16&amp;$C16,'Smelter Look-up'!$J:$J,0)))</f>
        <v>533</v>
      </c>
      <c r="X16" s="227">
        <f t="shared" ca="1" si="3"/>
        <v>0</v>
      </c>
      <c r="AB16" s="228" t="str">
        <f t="shared" si="4"/>
        <v>TinPT Timah Tbk Mentok</v>
      </c>
    </row>
    <row r="17" spans="1:28" s="227" customFormat="1" ht="20.100000000000001" customHeight="1">
      <c r="A17" s="262"/>
      <c r="B17" s="182" t="s">
        <v>1120</v>
      </c>
      <c r="C17" s="186" t="s">
        <v>13779</v>
      </c>
      <c r="D17" s="230"/>
      <c r="E17" s="182" t="str">
        <f ca="1">IF(ISERROR($V17),"",OFFSET('Smelter Look-up'!$D$4,$V17-4,0)&amp;"")</f>
        <v>INDONESIA</v>
      </c>
      <c r="F17" s="182" t="str">
        <f ca="1">IF(ISERROR($V17),"",OFFSET('Smelter Look-up'!$E$4,$V17-4,0))</f>
        <v>CID001477</v>
      </c>
      <c r="G17" s="182" t="str">
        <f ca="1">IF(C17=$X$4,IF(ISERROR($V17),"Enter smelter details","RMI"),IF(ISERROR($V17),"",OFFSET('Smelter Look-up'!$F$4,$V17-4,0)))</f>
        <v>RMI</v>
      </c>
      <c r="H17" s="183">
        <f ca="1">IF(ISERROR($V17),"",OFFSET('Smelter Look-up'!$G$4,$V17-4,0))</f>
        <v>0</v>
      </c>
      <c r="I17" s="184" t="str">
        <f ca="1">IF(ISERROR($V17),"",OFFSET('Smelter Look-up'!$H$4,$V17-4,0))</f>
        <v>Kundur</v>
      </c>
      <c r="J17" s="184" t="str">
        <f ca="1">IF(ISERROR($V17),"",OFFSET('Smelter Look-up'!$I$4,$V17-4,0))</f>
        <v>Riau</v>
      </c>
      <c r="K17" s="224"/>
      <c r="L17" s="224"/>
      <c r="M17" s="224"/>
      <c r="N17" s="224"/>
      <c r="O17" s="224"/>
      <c r="P17" s="185"/>
      <c r="Q17" s="225"/>
      <c r="R17" s="182" t="str">
        <f ca="1">IF(ISERROR($V17),"",OFFSET('Smelter Look-up'!$C$4,$V17-4,0)&amp;"")</f>
        <v>PT Timah Tbk Kundur</v>
      </c>
      <c r="S17" s="181" t="str">
        <f t="shared" ca="1" si="2"/>
        <v>ID</v>
      </c>
      <c r="T17" s="181" t="str">
        <f ca="1">IF(B17="","",IF(ISERROR(MATCH($J17,SorP!$B$1:$B$6226,0)),"",INDIRECT("'SorP'!$A$"&amp;MATCH($S17&amp;$J17,SorP!C:C,0))))</f>
        <v>ID-RI</v>
      </c>
      <c r="U17" s="201"/>
      <c r="V17" s="226">
        <f>IF(C17="",NA(),IF(OR(C17="Smelter not listed",C17="Smelter not yet identified"),MATCH($B17&amp;$D17,'Smelter Look-up'!$J:$J,0),MATCH($B17&amp;$C17,'Smelter Look-up'!$J:$J,0)))</f>
        <v>532</v>
      </c>
      <c r="X17" s="227">
        <f t="shared" ca="1" si="3"/>
        <v>0</v>
      </c>
      <c r="AB17" s="228" t="str">
        <f t="shared" si="4"/>
        <v>TinPT Timah Tbk Kundur</v>
      </c>
    </row>
    <row r="18" spans="1:28" s="227" customFormat="1" ht="20.100000000000001" customHeight="1">
      <c r="A18" s="181"/>
      <c r="B18" s="182" t="s">
        <v>1120</v>
      </c>
      <c r="C18" s="186" t="s">
        <v>1315</v>
      </c>
      <c r="D18" s="230"/>
      <c r="E18" s="182" t="str">
        <f ca="1">IF(ISERROR($V18),"",OFFSET('Smelter Look-up'!$D$4,$V18-4,0)&amp;"")</f>
        <v>CHINA</v>
      </c>
      <c r="F18" s="182" t="str">
        <f ca="1">IF(ISERROR($V18),"",OFFSET('Smelter Look-up'!$E$4,$V18-4,0))</f>
        <v>CID001070</v>
      </c>
      <c r="G18" s="182" t="str">
        <f ca="1">IF(C18=$X$4,IF(ISERROR($V18),"Enter smelter details","RMI"),IF(ISERROR($V18),"",OFFSET('Smelter Look-up'!$F$4,$V18-4,0)))</f>
        <v>RMI</v>
      </c>
      <c r="H18" s="183">
        <f ca="1">IF(ISERROR($V18),"",OFFSET('Smelter Look-up'!$G$4,$V18-4,0))</f>
        <v>0</v>
      </c>
      <c r="I18" s="184" t="str">
        <f ca="1">IF(ISERROR($V18),"",OFFSET('Smelter Look-up'!$H$4,$V18-4,0))</f>
        <v>Laibin</v>
      </c>
      <c r="J18" s="184" t="str">
        <f ca="1">IF(ISERROR($V18),"",OFFSET('Smelter Look-up'!$I$4,$V18-4,0))</f>
        <v>Guangxi Zhuangzu Zizhiqu</v>
      </c>
      <c r="K18" s="224"/>
      <c r="L18" s="224"/>
      <c r="M18" s="224"/>
      <c r="N18" s="224"/>
      <c r="O18" s="224"/>
      <c r="P18" s="185"/>
      <c r="Q18" s="225"/>
      <c r="R18" s="182" t="str">
        <f ca="1">IF(ISERROR($V18),"",OFFSET('Smelter Look-up'!$C$4,$V18-4,0)&amp;"")</f>
        <v>China Tin Group Co., Ltd.</v>
      </c>
      <c r="S18" s="181" t="str">
        <f t="shared" ca="1" si="2"/>
        <v>CN</v>
      </c>
      <c r="T18" s="181" t="str">
        <f ca="1">IF(B18="","",IF(ISERROR(MATCH($J18,SorP!$B$1:$B$6226,0)),"",INDIRECT("'SorP'!$A$"&amp;MATCH($S18&amp;$J18,SorP!C:C,0))))</f>
        <v>CN-GX</v>
      </c>
      <c r="U18" s="201"/>
      <c r="V18" s="226">
        <f>IF(C18="",NA(),IF(OR(C18="Smelter not listed",C18="Smelter not yet identified"),MATCH($B18&amp;$D18,'Smelter Look-up'!$J:$J,0),MATCH($B18&amp;$C18,'Smelter Look-up'!$J:$J,0)))</f>
        <v>414</v>
      </c>
      <c r="X18" s="227">
        <f t="shared" ca="1" si="3"/>
        <v>0</v>
      </c>
      <c r="AB18" s="228" t="str">
        <f t="shared" si="4"/>
        <v>TinChina Tin Group Co., Ltd.</v>
      </c>
    </row>
    <row r="19" spans="1:28" s="227" customFormat="1" ht="51">
      <c r="A19" s="181"/>
      <c r="B19" s="182" t="s">
        <v>1120</v>
      </c>
      <c r="C19" s="186" t="s">
        <v>623</v>
      </c>
      <c r="D19" s="230"/>
      <c r="E19" s="182" t="str">
        <f ca="1">IF(ISERROR($V19),"",OFFSET('Smelter Look-up'!$D$4,$V19-4,0)&amp;"")</f>
        <v>INDONESIA</v>
      </c>
      <c r="F19" s="182" t="str">
        <f ca="1">IF(ISERROR($V19),"",OFFSET('Smelter Look-up'!$E$4,$V19-4,0))</f>
        <v>CID001453</v>
      </c>
      <c r="G19" s="182" t="str">
        <f ca="1">IF(C19=$X$4,IF(ISERROR($V19),"Enter smelter details","RMI"),IF(ISERROR($V19),"",OFFSET('Smelter Look-up'!$F$4,$V19-4,0)))</f>
        <v>RMI</v>
      </c>
      <c r="H19" s="183">
        <f ca="1">IF(ISERROR($V19),"",OFFSET('Smelter Look-up'!$G$4,$V19-4,0))</f>
        <v>0</v>
      </c>
      <c r="I19" s="184" t="str">
        <f ca="1">IF(ISERROR($V19),"",OFFSET('Smelter Look-up'!$H$4,$V19-4,0))</f>
        <v>Sungailiat</v>
      </c>
      <c r="J19" s="184" t="str">
        <f ca="1">IF(ISERROR($V19),"",OFFSET('Smelter Look-up'!$I$4,$V19-4,0))</f>
        <v>Kepulauan Bangka Belitung</v>
      </c>
      <c r="K19" s="224"/>
      <c r="L19" s="224"/>
      <c r="M19" s="224"/>
      <c r="N19" s="224"/>
      <c r="O19" s="224"/>
      <c r="P19" s="185"/>
      <c r="Q19" s="225"/>
      <c r="R19" s="182" t="str">
        <f ca="1">IF(ISERROR($V19),"",OFFSET('Smelter Look-up'!$C$4,$V19-4,0)&amp;"")</f>
        <v>PT Mitra Stania Prima</v>
      </c>
      <c r="S19" s="181" t="str">
        <f t="shared" ca="1" si="2"/>
        <v>ID</v>
      </c>
      <c r="T19" s="181" t="str">
        <f ca="1">IF(B19="","",IF(ISERROR(MATCH($J19,SorP!$B$1:$B$6226,0)),"",INDIRECT("'SorP'!$A$"&amp;MATCH($S19&amp;$J19,SorP!C:C,0))))</f>
        <v>ID-BB</v>
      </c>
      <c r="U19" s="201"/>
      <c r="V19" s="226">
        <f>IF(C19="",NA(),IF(OR(C19="Smelter not listed",C19="Smelter not yet identified"),MATCH($B19&amp;$D19,'Smelter Look-up'!$J:$J,0),MATCH($B19&amp;$C19,'Smelter Look-up'!$J:$J,0)))</f>
        <v>518</v>
      </c>
      <c r="X19" s="227">
        <f t="shared" ca="1" si="3"/>
        <v>0</v>
      </c>
      <c r="AB19" s="228" t="str">
        <f t="shared" si="4"/>
        <v>TinPT Mitra Stania Prima</v>
      </c>
    </row>
    <row r="20" spans="1:28" s="227" customFormat="1" ht="51">
      <c r="A20" s="181"/>
      <c r="B20" s="182" t="s">
        <v>1120</v>
      </c>
      <c r="C20" s="186" t="s">
        <v>12408</v>
      </c>
      <c r="D20" s="230"/>
      <c r="E20" s="182" t="str">
        <f ca="1">IF(ISERROR($V20),"",OFFSET('Smelter Look-up'!$D$4,$V20-4,0)&amp;"")</f>
        <v>BRAZIL</v>
      </c>
      <c r="F20" s="182" t="str">
        <f ca="1">IF(ISERROR($V20),"",OFFSET('Smelter Look-up'!$E$4,$V20-4,0))</f>
        <v>CID001173</v>
      </c>
      <c r="G20" s="182" t="str">
        <f ca="1">IF(C20=$X$4,IF(ISERROR($V20),"Enter smelter details","RMI"),IF(ISERROR($V20),"",OFFSET('Smelter Look-up'!$F$4,$V20-4,0)))</f>
        <v>RMI</v>
      </c>
      <c r="H20" s="183">
        <f ca="1">IF(ISERROR($V20),"",OFFSET('Smelter Look-up'!$G$4,$V20-4,0))</f>
        <v>0</v>
      </c>
      <c r="I20" s="184" t="str">
        <f ca="1">IF(ISERROR($V20),"",OFFSET('Smelter Look-up'!$H$4,$V20-4,0))</f>
        <v>Bairro Guarapiranga</v>
      </c>
      <c r="J20" s="184" t="str">
        <f ca="1">IF(ISERROR($V20),"",OFFSET('Smelter Look-up'!$I$4,$V20-4,0))</f>
        <v>São Paulo</v>
      </c>
      <c r="K20" s="224"/>
      <c r="L20" s="224"/>
      <c r="M20" s="224"/>
      <c r="N20" s="224"/>
      <c r="O20" s="224"/>
      <c r="P20" s="185"/>
      <c r="Q20" s="225"/>
      <c r="R20" s="182" t="str">
        <f ca="1">IF(ISERROR($V20),"",OFFSET('Smelter Look-up'!$C$4,$V20-4,0)&amp;"")</f>
        <v>Mineracao Taboca S.A.</v>
      </c>
      <c r="S20" s="181" t="str">
        <f t="shared" ca="1" si="2"/>
        <v>BR</v>
      </c>
      <c r="T20" s="181" t="str">
        <f ca="1">IF(B20="","",IF(ISERROR(MATCH($J20,SorP!$B$1:$B$6226,0)),"",INDIRECT("'SorP'!$A$"&amp;MATCH($S20&amp;$J20,SorP!C:C,0))))</f>
        <v>BR-SP</v>
      </c>
      <c r="U20" s="201"/>
      <c r="V20" s="226">
        <f>IF(C20="",NA(),IF(OR(C20="Smelter not listed",C20="Smelter not yet identified"),MATCH($B20&amp;$D20,'Smelter Look-up'!$J:$J,0),MATCH($B20&amp;$C20,'Smelter Look-up'!$J:$J,0)))</f>
        <v>482</v>
      </c>
      <c r="X20" s="227">
        <f t="shared" ca="1" si="3"/>
        <v>0</v>
      </c>
      <c r="AB20" s="228" t="str">
        <f t="shared" si="4"/>
        <v>TinMineracao Taboca S.A.</v>
      </c>
    </row>
    <row r="21" spans="1:28" s="227" customFormat="1" ht="51">
      <c r="A21" s="181"/>
      <c r="B21" s="182" t="s">
        <v>1120</v>
      </c>
      <c r="C21" s="186" t="s">
        <v>2141</v>
      </c>
      <c r="D21" s="230"/>
      <c r="E21" s="182" t="str">
        <f ca="1">IF(ISERROR($V21),"",OFFSET('Smelter Look-up'!$D$4,$V21-4,0)&amp;"")</f>
        <v>INDONESIA</v>
      </c>
      <c r="F21" s="182" t="str">
        <f ca="1">IF(ISERROR($V21),"",OFFSET('Smelter Look-up'!$E$4,$V21-4,0))</f>
        <v>CID001460</v>
      </c>
      <c r="G21" s="182" t="str">
        <f ca="1">IF(C21=$X$4,IF(ISERROR($V21),"Enter smelter details","RMI"),IF(ISERROR($V21),"",OFFSET('Smelter Look-up'!$F$4,$V21-4,0)))</f>
        <v>RMI</v>
      </c>
      <c r="H21" s="183">
        <f ca="1">IF(ISERROR($V21),"",OFFSET('Smelter Look-up'!$G$4,$V21-4,0))</f>
        <v>0</v>
      </c>
      <c r="I21" s="184" t="str">
        <f ca="1">IF(ISERROR($V21),"",OFFSET('Smelter Look-up'!$H$4,$V21-4,0))</f>
        <v>Sungailiat</v>
      </c>
      <c r="J21" s="184" t="str">
        <f ca="1">IF(ISERROR($V21),"",OFFSET('Smelter Look-up'!$I$4,$V21-4,0))</f>
        <v>Kepulauan Bangka Belitung</v>
      </c>
      <c r="K21" s="224"/>
      <c r="L21" s="224"/>
      <c r="M21" s="224"/>
      <c r="N21" s="224"/>
      <c r="O21" s="224"/>
      <c r="P21" s="185"/>
      <c r="Q21" s="225"/>
      <c r="R21" s="182" t="str">
        <f ca="1">IF(ISERROR($V21),"",OFFSET('Smelter Look-up'!$C$4,$V21-4,0)&amp;"")</f>
        <v>PT Refined Bangka Tin</v>
      </c>
      <c r="S21" s="181" t="str">
        <f t="shared" ca="1" si="2"/>
        <v>ID</v>
      </c>
      <c r="T21" s="181" t="str">
        <f ca="1">IF(B21="","",IF(ISERROR(MATCH($J21,SorP!$B$1:$B$6226,0)),"",INDIRECT("'SorP'!$A$"&amp;MATCH($S21&amp;$J21,SorP!C:C,0))))</f>
        <v>ID-BB</v>
      </c>
      <c r="U21" s="201"/>
      <c r="V21" s="226">
        <f>IF(C21="",NA(),IF(OR(C21="Smelter not listed",C21="Smelter not yet identified"),MATCH($B21&amp;$D21,'Smelter Look-up'!$J:$J,0),MATCH($B21&amp;$C21,'Smelter Look-up'!$J:$J,0)))</f>
        <v>526</v>
      </c>
      <c r="X21" s="227">
        <f t="shared" ca="1" si="3"/>
        <v>0</v>
      </c>
      <c r="AB21" s="228" t="str">
        <f t="shared" si="4"/>
        <v>TinPT Refined Bangka Tin</v>
      </c>
    </row>
    <row r="22" spans="1:28" s="227" customFormat="1" ht="25.5">
      <c r="A22" s="181"/>
      <c r="B22" s="182" t="s">
        <v>1120</v>
      </c>
      <c r="C22" s="186" t="s">
        <v>805</v>
      </c>
      <c r="D22" s="230"/>
      <c r="E22" s="182" t="str">
        <f ca="1">IF(ISERROR($V22),"",OFFSET('Smelter Look-up'!$D$4,$V22-4,0)&amp;"")</f>
        <v>POLAND</v>
      </c>
      <c r="F22" s="182" t="str">
        <f ca="1">IF(ISERROR($V22),"",OFFSET('Smelter Look-up'!$E$4,$V22-4,0))</f>
        <v>CID000468</v>
      </c>
      <c r="G22" s="182" t="str">
        <f ca="1">IF(C22=$X$4,IF(ISERROR($V22),"Enter smelter details","RMI"),IF(ISERROR($V22),"",OFFSET('Smelter Look-up'!$F$4,$V22-4,0)))</f>
        <v>RMI</v>
      </c>
      <c r="H22" s="183">
        <f ca="1">IF(ISERROR($V22),"",OFFSET('Smelter Look-up'!$G$4,$V22-4,0))</f>
        <v>0</v>
      </c>
      <c r="I22" s="184" t="str">
        <f ca="1">IF(ISERROR($V22),"",OFFSET('Smelter Look-up'!$H$4,$V22-4,0))</f>
        <v>Chmielów</v>
      </c>
      <c r="J22" s="184" t="str">
        <f ca="1">IF(ISERROR($V22),"",OFFSET('Smelter Look-up'!$I$4,$V22-4,0))</f>
        <v>Podkarpackie</v>
      </c>
      <c r="K22" s="224"/>
      <c r="L22" s="224"/>
      <c r="M22" s="224"/>
      <c r="N22" s="224"/>
      <c r="O22" s="224"/>
      <c r="P22" s="185"/>
      <c r="Q22" s="225"/>
      <c r="R22" s="182" t="str">
        <f ca="1">IF(ISERROR($V22),"",OFFSET('Smelter Look-up'!$C$4,$V22-4,0)&amp;"")</f>
        <v>Fenix Metals</v>
      </c>
      <c r="S22" s="181" t="str">
        <f t="shared" ca="1" si="2"/>
        <v>PL</v>
      </c>
      <c r="T22" s="181" t="str">
        <f ca="1">IF(B22="","",IF(ISERROR(MATCH($J22,SorP!$B$1:$B$6226,0)),"",INDIRECT("'SorP'!$A$"&amp;MATCH($S22&amp;$J22,SorP!C:C,0))))</f>
        <v>PL-18</v>
      </c>
      <c r="U22" s="201"/>
      <c r="V22" s="226">
        <f>IF(C22="",NA(),IF(OR(C22="Smelter not listed",C22="Smelter not yet identified"),MATCH($B22&amp;$D22,'Smelter Look-up'!$J:$J,0),MATCH($B22&amp;$C22,'Smelter Look-up'!$J:$J,0)))</f>
        <v>442</v>
      </c>
      <c r="X22" s="227">
        <f t="shared" ca="1" si="3"/>
        <v>0</v>
      </c>
      <c r="AB22" s="228" t="str">
        <f t="shared" si="4"/>
        <v>TinFenix Metals</v>
      </c>
    </row>
    <row r="23" spans="1:28" s="227" customFormat="1" ht="63.75">
      <c r="A23" s="181"/>
      <c r="B23" s="182" t="s">
        <v>1120</v>
      </c>
      <c r="C23" s="186" t="s">
        <v>15075</v>
      </c>
      <c r="D23" s="230"/>
      <c r="E23" s="182" t="str">
        <f ca="1">IF(ISERROR($V23),"",OFFSET('Smelter Look-up'!$D$4,$V23-4,0)&amp;"")</f>
        <v>INDONESIA</v>
      </c>
      <c r="F23" s="182" t="str">
        <f ca="1">IF(ISERROR($V23),"",OFFSET('Smelter Look-up'!$E$4,$V23-4,0))</f>
        <v>CID001406</v>
      </c>
      <c r="G23" s="182" t="str">
        <f ca="1">IF(C23=$X$4,IF(ISERROR($V23),"Enter smelter details","RMI"),IF(ISERROR($V23),"",OFFSET('Smelter Look-up'!$F$4,$V23-4,0)))</f>
        <v>RMI</v>
      </c>
      <c r="H23" s="183">
        <f ca="1">IF(ISERROR($V23),"",OFFSET('Smelter Look-up'!$G$4,$V23-4,0))</f>
        <v>0</v>
      </c>
      <c r="I23" s="184" t="str">
        <f ca="1">IF(ISERROR($V23),"",OFFSET('Smelter Look-up'!$H$4,$V23-4,0))</f>
        <v>Badau</v>
      </c>
      <c r="J23" s="184" t="str">
        <f ca="1">IF(ISERROR($V23),"",OFFSET('Smelter Look-up'!$I$4,$V23-4,0))</f>
        <v>Kepulauan Bangka Belitung</v>
      </c>
      <c r="K23" s="224"/>
      <c r="L23" s="224"/>
      <c r="M23" s="224"/>
      <c r="N23" s="224"/>
      <c r="O23" s="224"/>
      <c r="P23" s="185"/>
      <c r="Q23" s="225"/>
      <c r="R23" s="182" t="str">
        <f ca="1">IF(ISERROR($V23),"",OFFSET('Smelter Look-up'!$C$4,$V23-4,0)&amp;"")</f>
        <v>PT Babel Surya Alam Lestari</v>
      </c>
      <c r="S23" s="181" t="str">
        <f t="shared" ca="1" si="2"/>
        <v>ID</v>
      </c>
      <c r="T23" s="181" t="str">
        <f ca="1">IF(B23="","",IF(ISERROR(MATCH($J23,SorP!$B$1:$B$6226,0)),"",INDIRECT("'SorP'!$A$"&amp;MATCH($S23&amp;$J23,SorP!C:C,0))))</f>
        <v>ID-BB</v>
      </c>
      <c r="U23" s="201"/>
      <c r="V23" s="226">
        <f>IF(C23="",NA(),IF(OR(C23="Smelter not listed",C23="Smelter not yet identified"),MATCH($B23&amp;$D23,'Smelter Look-up'!$J:$J,0),MATCH($B23&amp;$C23,'Smelter Look-up'!$J:$J,0)))</f>
        <v>507</v>
      </c>
      <c r="X23" s="227">
        <f t="shared" ca="1" si="3"/>
        <v>0</v>
      </c>
      <c r="AB23" s="228" t="str">
        <f t="shared" si="4"/>
        <v>TinPT Babel Surya Alam Lestari</v>
      </c>
    </row>
    <row r="24" spans="1:28" s="227" customFormat="1" ht="25.5">
      <c r="A24" s="181"/>
      <c r="B24" s="182" t="s">
        <v>1120</v>
      </c>
      <c r="C24" s="186" t="s">
        <v>1021</v>
      </c>
      <c r="D24" s="230"/>
      <c r="E24" s="182" t="str">
        <f ca="1">IF(ISERROR($V24),"",OFFSET('Smelter Look-up'!$D$4,$V24-4,0)&amp;"")</f>
        <v>THAILAND</v>
      </c>
      <c r="F24" s="182" t="str">
        <f ca="1">IF(ISERROR($V24),"",OFFSET('Smelter Look-up'!$E$4,$V24-4,0))</f>
        <v>CID001898</v>
      </c>
      <c r="G24" s="182" t="str">
        <f ca="1">IF(C24=$X$4,IF(ISERROR($V24),"Enter smelter details","RMI"),IF(ISERROR($V24),"",OFFSET('Smelter Look-up'!$F$4,$V24-4,0)))</f>
        <v>RMI</v>
      </c>
      <c r="H24" s="183">
        <f ca="1">IF(ISERROR($V24),"",OFFSET('Smelter Look-up'!$G$4,$V24-4,0))</f>
        <v>0</v>
      </c>
      <c r="I24" s="184" t="str">
        <f ca="1">IF(ISERROR($V24),"",OFFSET('Smelter Look-up'!$H$4,$V24-4,0))</f>
        <v>Amphur Muang</v>
      </c>
      <c r="J24" s="184" t="str">
        <f ca="1">IF(ISERROR($V24),"",OFFSET('Smelter Look-up'!$I$4,$V24-4,0))</f>
        <v>Phuket</v>
      </c>
      <c r="K24" s="224"/>
      <c r="L24" s="224"/>
      <c r="M24" s="224"/>
      <c r="N24" s="224"/>
      <c r="O24" s="224"/>
      <c r="P24" s="185"/>
      <c r="Q24" s="225"/>
      <c r="R24" s="182" t="str">
        <f ca="1">IF(ISERROR($V24),"",OFFSET('Smelter Look-up'!$C$4,$V24-4,0)&amp;"")</f>
        <v>Thaisarco</v>
      </c>
      <c r="S24" s="181" t="str">
        <f t="shared" ca="1" si="2"/>
        <v>TH</v>
      </c>
      <c r="T24" s="181" t="str">
        <f ca="1">IF(B24="","",IF(ISERROR(MATCH($J24,SorP!$B$1:$B$6226,0)),"",INDIRECT("'SorP'!$A$"&amp;MATCH($S24&amp;$J24,SorP!C:C,0))))</f>
        <v>TH-83</v>
      </c>
      <c r="U24" s="201"/>
      <c r="V24" s="226">
        <f>IF(C24="",NA(),IF(OR(C24="Smelter not listed",C24="Smelter not yet identified"),MATCH($B24&amp;$D24,'Smelter Look-up'!$J:$J,0),MATCH($B24&amp;$C24,'Smelter Look-up'!$J:$J,0)))</f>
        <v>547</v>
      </c>
      <c r="X24" s="227">
        <f t="shared" ca="1" si="3"/>
        <v>0</v>
      </c>
      <c r="AB24" s="228" t="str">
        <f t="shared" si="4"/>
        <v>TinThaisarco</v>
      </c>
    </row>
    <row r="25" spans="1:28" s="227" customFormat="1" ht="38.25">
      <c r="A25" s="181"/>
      <c r="B25" s="182" t="s">
        <v>1120</v>
      </c>
      <c r="C25" s="186" t="s">
        <v>832</v>
      </c>
      <c r="D25" s="230"/>
      <c r="E25" s="182" t="str">
        <f ca="1">IF(ISERROR($V25),"",OFFSET('Smelter Look-up'!$D$4,$V25-4,0)&amp;"")</f>
        <v>BOLIVIA (PLURINATIONAL STATE OF)</v>
      </c>
      <c r="F25" s="182" t="str">
        <f ca="1">IF(ISERROR($V25),"",OFFSET('Smelter Look-up'!$E$4,$V25-4,0))</f>
        <v>CID000438</v>
      </c>
      <c r="G25" s="182" t="str">
        <f ca="1">IF(C25=$X$4,IF(ISERROR($V25),"Enter smelter details","RMI"),IF(ISERROR($V25),"",OFFSET('Smelter Look-up'!$F$4,$V25-4,0)))</f>
        <v>RMI</v>
      </c>
      <c r="H25" s="183">
        <f ca="1">IF(ISERROR($V25),"",OFFSET('Smelter Look-up'!$G$4,$V25-4,0))</f>
        <v>0</v>
      </c>
      <c r="I25" s="184" t="str">
        <f ca="1">IF(ISERROR($V25),"",OFFSET('Smelter Look-up'!$H$4,$V25-4,0))</f>
        <v>Oruro</v>
      </c>
      <c r="J25" s="184" t="str">
        <f ca="1">IF(ISERROR($V25),"",OFFSET('Smelter Look-up'!$I$4,$V25-4,0))</f>
        <v>Oruro</v>
      </c>
      <c r="K25" s="224"/>
      <c r="L25" s="224"/>
      <c r="M25" s="224"/>
      <c r="N25" s="224"/>
      <c r="O25" s="224"/>
      <c r="P25" s="185"/>
      <c r="Q25" s="225"/>
      <c r="R25" s="182" t="str">
        <f ca="1">IF(ISERROR($V25),"",OFFSET('Smelter Look-up'!$C$4,$V25-4,0)&amp;"")</f>
        <v>EM Vinto</v>
      </c>
      <c r="S25" s="181" t="str">
        <f t="shared" ca="1" si="2"/>
        <v>BO</v>
      </c>
      <c r="T25" s="181" t="str">
        <f ca="1">IF(B25="","",IF(ISERROR(MATCH($J25,SorP!$B$1:$B$6226,0)),"",INDIRECT("'SorP'!$A$"&amp;MATCH($S25&amp;$J25,SorP!C:C,0))))</f>
        <v>BO-O</v>
      </c>
      <c r="U25" s="201"/>
      <c r="V25" s="226">
        <f>IF(C25="",NA(),IF(OR(C25="Smelter not listed",C25="Smelter not yet identified"),MATCH($B25&amp;$D25,'Smelter Look-up'!$J:$J,0),MATCH($B25&amp;$C25,'Smelter Look-up'!$J:$J,0)))</f>
        <v>433</v>
      </c>
      <c r="X25" s="227">
        <f t="shared" ca="1" si="3"/>
        <v>0</v>
      </c>
      <c r="AB25" s="228" t="str">
        <f t="shared" si="4"/>
        <v>TinEM Vinto</v>
      </c>
    </row>
    <row r="26" spans="1:28" s="227" customFormat="1" ht="76.5">
      <c r="A26" s="181"/>
      <c r="B26" s="182" t="s">
        <v>1120</v>
      </c>
      <c r="C26" s="186" t="s">
        <v>48</v>
      </c>
      <c r="D26" s="230"/>
      <c r="E26" s="182" t="str">
        <f ca="1">IF(ISERROR($V26),"",OFFSET('Smelter Look-up'!$D$4,$V26-4,0)&amp;"")</f>
        <v>BRAZIL</v>
      </c>
      <c r="F26" s="182" t="str">
        <f ca="1">IF(ISERROR($V26),"",OFFSET('Smelter Look-up'!$E$4,$V26-4,0))</f>
        <v>CID002036</v>
      </c>
      <c r="G26" s="182" t="str">
        <f ca="1">IF(C26=$X$4,IF(ISERROR($V26),"Enter smelter details","RMI"),IF(ISERROR($V26),"",OFFSET('Smelter Look-up'!$F$4,$V26-4,0)))</f>
        <v>RMI</v>
      </c>
      <c r="H26" s="183">
        <f ca="1">IF(ISERROR($V26),"",OFFSET('Smelter Look-up'!$G$4,$V26-4,0))</f>
        <v>0</v>
      </c>
      <c r="I26" s="184" t="str">
        <f ca="1">IF(ISERROR($V26),"",OFFSET('Smelter Look-up'!$H$4,$V26-4,0))</f>
        <v>Ariquemes</v>
      </c>
      <c r="J26" s="184" t="str">
        <f ca="1">IF(ISERROR($V26),"",OFFSET('Smelter Look-up'!$I$4,$V26-4,0))</f>
        <v>Rondônia</v>
      </c>
      <c r="K26" s="224"/>
      <c r="L26" s="224"/>
      <c r="M26" s="224"/>
      <c r="N26" s="224"/>
      <c r="O26" s="224"/>
      <c r="P26" s="185"/>
      <c r="Q26" s="225"/>
      <c r="R26" s="182" t="str">
        <f ca="1">IF(ISERROR($V26),"",OFFSET('Smelter Look-up'!$C$4,$V26-4,0)&amp;"")</f>
        <v>White Solder Metalurgia e Mineracao Ltda.</v>
      </c>
      <c r="S26" s="181" t="str">
        <f t="shared" ca="1" si="2"/>
        <v>BR</v>
      </c>
      <c r="T26" s="181" t="str">
        <f ca="1">IF(B26="","",IF(ISERROR(MATCH($J26,SorP!$B$1:$B$6226,0)),"",INDIRECT("'SorP'!$A$"&amp;MATCH($S26&amp;$J26,SorP!C:C,0))))</f>
        <v>BR-RO</v>
      </c>
      <c r="U26" s="201"/>
      <c r="V26" s="226">
        <f>IF(C26="",NA(),IF(OR(C26="Smelter not listed",C26="Smelter not yet identified"),MATCH($B26&amp;$D26,'Smelter Look-up'!$J:$J,0),MATCH($B26&amp;$C26,'Smelter Look-up'!$J:$J,0)))</f>
        <v>557</v>
      </c>
      <c r="X26" s="227">
        <f t="shared" ca="1" si="3"/>
        <v>0</v>
      </c>
      <c r="AB26" s="228" t="str">
        <f t="shared" si="4"/>
        <v>TinWhite Solder Metalurgia e Mineração Ltda.</v>
      </c>
    </row>
    <row r="27" spans="1:28" s="227" customFormat="1" ht="63.75">
      <c r="A27" s="181"/>
      <c r="B27" s="182" t="s">
        <v>1120</v>
      </c>
      <c r="C27" s="186" t="s">
        <v>13158</v>
      </c>
      <c r="D27" s="230"/>
      <c r="E27" s="182" t="str">
        <f ca="1">IF(ISERROR($V27),"",OFFSET('Smelter Look-up'!$D$4,$V27-4,0)&amp;"")</f>
        <v>CHINA</v>
      </c>
      <c r="F27" s="182" t="str">
        <f ca="1">IF(ISERROR($V27),"",OFFSET('Smelter Look-up'!$E$4,$V27-4,0))</f>
        <v>CID001231</v>
      </c>
      <c r="G27" s="182" t="str">
        <f ca="1">IF(C27=$X$4,IF(ISERROR($V27),"Enter smelter details","RMI"),IF(ISERROR($V27),"",OFFSET('Smelter Look-up'!$F$4,$V27-4,0)))</f>
        <v>RMI</v>
      </c>
      <c r="H27" s="183">
        <f ca="1">IF(ISERROR($V27),"",OFFSET('Smelter Look-up'!$G$4,$V27-4,0))</f>
        <v>0</v>
      </c>
      <c r="I27" s="184" t="str">
        <f ca="1">IF(ISERROR($V27),"",OFFSET('Smelter Look-up'!$H$4,$V27-4,0))</f>
        <v>Ganzhou</v>
      </c>
      <c r="J27" s="184" t="str">
        <f ca="1">IF(ISERROR($V27),"",OFFSET('Smelter Look-up'!$I$4,$V27-4,0))</f>
        <v>Jiangxi Sheng</v>
      </c>
      <c r="K27" s="224"/>
      <c r="L27" s="224"/>
      <c r="M27" s="224"/>
      <c r="N27" s="224"/>
      <c r="O27" s="224"/>
      <c r="P27" s="185"/>
      <c r="Q27" s="225"/>
      <c r="R27" s="182" t="str">
        <f ca="1">IF(ISERROR($V27),"",OFFSET('Smelter Look-up'!$C$4,$V27-4,0)&amp;"")</f>
        <v>Jiangxi New Nanshan Technology Ltd.</v>
      </c>
      <c r="S27" s="181" t="str">
        <f t="shared" ca="1" si="2"/>
        <v>CN</v>
      </c>
      <c r="T27" s="181" t="str">
        <f ca="1">IF(B27="","",IF(ISERROR(MATCH($J27,SorP!$B$1:$B$6226,0)),"",INDIRECT("'SorP'!$A$"&amp;MATCH($S27&amp;$J27,SorP!C:C,0))))</f>
        <v>CN-JX</v>
      </c>
      <c r="U27" s="201"/>
      <c r="V27" s="226">
        <f>IF(C27="",NA(),IF(OR(C27="Smelter not listed",C27="Smelter not yet identified"),MATCH($B27&amp;$D27,'Smelter Look-up'!$J:$J,0),MATCH($B27&amp;$C27,'Smelter Look-up'!$J:$J,0)))</f>
        <v>464</v>
      </c>
      <c r="X27" s="227">
        <f t="shared" ca="1" si="3"/>
        <v>0</v>
      </c>
      <c r="AB27" s="228" t="str">
        <f t="shared" si="4"/>
        <v>TinJiangxi New Nanshan Technology Ltd.</v>
      </c>
    </row>
    <row r="28" spans="1:28" s="227" customFormat="1" ht="63.75">
      <c r="A28" s="181"/>
      <c r="B28" s="182" t="s">
        <v>1120</v>
      </c>
      <c r="C28" s="186" t="s">
        <v>13781</v>
      </c>
      <c r="D28" s="230"/>
      <c r="E28" s="182" t="str">
        <f ca="1">IF(ISERROR($V28),"",OFFSET('Smelter Look-up'!$D$4,$V28-4,0)&amp;"")</f>
        <v>BOLIVIA (PLURINATIONAL STATE OF)</v>
      </c>
      <c r="F28" s="182" t="str">
        <f ca="1">IF(ISERROR($V28),"",OFFSET('Smelter Look-up'!$E$4,$V28-4,0))</f>
        <v>CID001337</v>
      </c>
      <c r="G28" s="182" t="str">
        <f ca="1">IF(C28=$X$4,IF(ISERROR($V28),"Enter smelter details","RMI"),IF(ISERROR($V28),"",OFFSET('Smelter Look-up'!$F$4,$V28-4,0)))</f>
        <v>RMI</v>
      </c>
      <c r="H28" s="183">
        <f ca="1">IF(ISERROR($V28),"",OFFSET('Smelter Look-up'!$G$4,$V28-4,0))</f>
        <v>0</v>
      </c>
      <c r="I28" s="184" t="str">
        <f ca="1">IF(ISERROR($V28),"",OFFSET('Smelter Look-up'!$H$4,$V28-4,0))</f>
        <v>Oruro</v>
      </c>
      <c r="J28" s="184" t="str">
        <f ca="1">IF(ISERROR($V28),"",OFFSET('Smelter Look-up'!$I$4,$V28-4,0))</f>
        <v>Oruro</v>
      </c>
      <c r="K28" s="224"/>
      <c r="L28" s="224"/>
      <c r="M28" s="224"/>
      <c r="N28" s="224"/>
      <c r="O28" s="224"/>
      <c r="P28" s="185"/>
      <c r="Q28" s="225"/>
      <c r="R28" s="182" t="str">
        <f ca="1">IF(ISERROR($V28),"",OFFSET('Smelter Look-up'!$C$4,$V28-4,0)&amp;"")</f>
        <v>Operaciones Metalurgicas S.A.</v>
      </c>
      <c r="S28" s="181" t="str">
        <f t="shared" ca="1" si="2"/>
        <v>BO</v>
      </c>
      <c r="T28" s="181" t="str">
        <f ca="1">IF(B28="","",IF(ISERROR(MATCH($J28,SorP!$B$1:$B$6226,0)),"",INDIRECT("'SorP'!$A$"&amp;MATCH($S28&amp;$J28,SorP!C:C,0))))</f>
        <v>BO-O</v>
      </c>
      <c r="U28" s="201"/>
      <c r="V28" s="226">
        <f>IF(C28="",NA(),IF(OR(C28="Smelter not listed",C28="Smelter not yet identified"),MATCH($B28&amp;$D28,'Smelter Look-up'!$J:$J,0),MATCH($B28&amp;$C28,'Smelter Look-up'!$J:$J,0)))</f>
        <v>500</v>
      </c>
      <c r="X28" s="227">
        <f t="shared" ca="1" si="3"/>
        <v>0</v>
      </c>
      <c r="AB28" s="228" t="str">
        <f t="shared" si="4"/>
        <v>TinOperaciones Metalúrgicas S.A.</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182CB0D-0D63-4B18-B3CB-E9D824078934}"/>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Surge Components,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Eric Achille</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eric.achille@surgecomponents.com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631-595-1818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Eric Achille</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eric.achille@surgecomponents.com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45435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available upon request</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C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31.5">
      <c r="A6" s="128"/>
      <c r="B6" s="274" t="s">
        <v>15863</v>
      </c>
      <c r="C6" s="98" t="s">
        <v>15863</v>
      </c>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Eric Achille</cp:lastModifiedBy>
  <cp:lastPrinted>2015-04-21T20:47:43Z</cp:lastPrinted>
  <dcterms:created xsi:type="dcterms:W3CDTF">2010-06-21T21:00:23Z</dcterms:created>
  <dcterms:modified xsi:type="dcterms:W3CDTF">2024-12-05T15:47:28Z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